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tabRatio="638" activeTab="1"/>
  </bookViews>
  <sheets>
    <sheet name="PLANILHA ORÇAMENTÁRIA" sheetId="1" r:id="rId1"/>
    <sheet name="COMPOSIÇÕES" sheetId="2" r:id="rId2"/>
  </sheets>
  <externalReferences>
    <externalReference r:id="rId5"/>
    <externalReference r:id="rId6"/>
    <externalReference r:id="rId7"/>
    <externalReference r:id="rId8"/>
    <externalReference r:id="rId9"/>
  </externalReferences>
  <definedNames>
    <definedName name="__123Graph_B" localSheetId="1">'[4]DI-STP - PMS:Curva Serviços'!#REF!</definedName>
    <definedName name="__123Graph_B">'[4]DI-STP - PMS:Curva Serviços'!#REF!</definedName>
    <definedName name="__123Graph_D" localSheetId="1">'[4]DI-STP - PMS:Curva Serviços'!#REF!</definedName>
    <definedName name="__123Graph_D">'[4]DI-STP - PMS:Curva Serviços'!#REF!</definedName>
    <definedName name="__123Graph_F" localSheetId="1">'[4]DI-STP - PMS:Curva Serviços'!#REF!</definedName>
    <definedName name="__123Graph_F">'[4]DI-STP - PMS:Curva Serviços'!#REF!</definedName>
    <definedName name="__123Graph_X" localSheetId="1">'[4]DI-STP - PMS:Curva Serviços'!#REF!</definedName>
    <definedName name="__123Graph_X">'[4]DI-STP - PMS:Curva Serviços'!#REF!</definedName>
    <definedName name="_A" localSheetId="1">#REF!</definedName>
    <definedName name="_A">#REF!</definedName>
    <definedName name="_B" localSheetId="1">#REF!</definedName>
    <definedName name="_B">#REF!</definedName>
    <definedName name="_C" localSheetId="1">#REF!</definedName>
    <definedName name="_C">#REF!</definedName>
    <definedName name="_I" localSheetId="1">#REF!</definedName>
    <definedName name="_I">#REF!</definedName>
    <definedName name="_J" localSheetId="1">#REF!</definedName>
    <definedName name="_J">#REF!</definedName>
    <definedName name="_O" localSheetId="1">#REF!</definedName>
    <definedName name="_O">#REF!</definedName>
    <definedName name="_P" localSheetId="1">#REF!</definedName>
    <definedName name="_P">#REF!</definedName>
    <definedName name="_T" localSheetId="1">#REF!</definedName>
    <definedName name="_T">#REF!</definedName>
    <definedName name="_xlfn._ONEDARRAY" hidden="1">#NAME?</definedName>
    <definedName name="_xlfn._SORT" hidden="1">#NAME?</definedName>
    <definedName name="_xlfn.ANCHORARRAY" hidden="1">#NAME?</definedName>
    <definedName name="_xlfn_COUNTIFS">NA()</definedName>
    <definedName name="_xlfn_IFERROR">NA()</definedName>
    <definedName name="abebqt" localSheetId="1">#REF!</definedName>
    <definedName name="abebqt">#REF!</definedName>
    <definedName name="ACADUC" localSheetId="1">#REF!</definedName>
    <definedName name="ACADUC">#REF!</definedName>
    <definedName name="ACBEB" localSheetId="1">#REF!</definedName>
    <definedName name="ACBEB">#REF!</definedName>
    <definedName name="ACBOMB" localSheetId="1">#REF!</definedName>
    <definedName name="ACBOMB">#REF!</definedName>
    <definedName name="ACCHAF" localSheetId="1">#REF!</definedName>
    <definedName name="ACCHAF">#REF!</definedName>
    <definedName name="ACDER" localSheetId="1">#REF!</definedName>
    <definedName name="ACDER">#REF!</definedName>
    <definedName name="ACDIV" localSheetId="1">#REF!</definedName>
    <definedName name="ACDIV">#REF!</definedName>
    <definedName name="ACEQP" localSheetId="1">#REF!</definedName>
    <definedName name="ACEQP">#REF!</definedName>
    <definedName name="ACHAFQT" localSheetId="1">#REF!</definedName>
    <definedName name="ACHAFQT">#REF!</definedName>
    <definedName name="ACMUR" localSheetId="1">#REF!</definedName>
    <definedName name="ACMUR">#REF!</definedName>
    <definedName name="ACONT2" localSheetId="1">#REF!</definedName>
    <definedName name="ACONT2">#REF!</definedName>
    <definedName name="ACPIPA" localSheetId="1">#REF!</definedName>
    <definedName name="ACPIPA">#REF!</definedName>
    <definedName name="ACR10" localSheetId="1">#REF!</definedName>
    <definedName name="ACR10">#REF!</definedName>
    <definedName name="ACR15" localSheetId="1">#REF!</definedName>
    <definedName name="ACR15">#REF!</definedName>
    <definedName name="acr20" localSheetId="1">#REF!</definedName>
    <definedName name="acr20">#REF!</definedName>
    <definedName name="acr5" localSheetId="1">#REF!</definedName>
    <definedName name="acr5">#REF!</definedName>
    <definedName name="ACTRANSP" localSheetId="1">#REF!</definedName>
    <definedName name="ACTRANSP">#REF!</definedName>
    <definedName name="ADUCQT" localSheetId="1">#REF!</definedName>
    <definedName name="ADUCQT">#REF!</definedName>
    <definedName name="AITEM" localSheetId="1">#REF!</definedName>
    <definedName name="AITEM">#REF!</definedName>
    <definedName name="ALTADUC" localSheetId="1">#REF!</definedName>
    <definedName name="ALTADUC">#REF!</definedName>
    <definedName name="ALTBOMB" localSheetId="1">#REF!</definedName>
    <definedName name="ALTBOMB">#REF!</definedName>
    <definedName name="ALTCAP" localSheetId="1">#REF!</definedName>
    <definedName name="ALTCAP">#REF!</definedName>
    <definedName name="ALTDER" localSheetId="1">#REF!</definedName>
    <definedName name="ALTDER">#REF!</definedName>
    <definedName name="ALTEQUIP" localSheetId="1">#REF!</definedName>
    <definedName name="ALTEQUIP">#REF!</definedName>
    <definedName name="ALTIEQP" localSheetId="1">#REF!</definedName>
    <definedName name="ALTIEQP">#REF!</definedName>
    <definedName name="ALTMUR" localSheetId="1">#REF!</definedName>
    <definedName name="ALTMUR">#REF!</definedName>
    <definedName name="ALTRES10" localSheetId="1">#REF!</definedName>
    <definedName name="ALTRES10">#REF!</definedName>
    <definedName name="ALTRES15" localSheetId="1">#REF!</definedName>
    <definedName name="ALTRES15">#REF!</definedName>
    <definedName name="ALTRES20" localSheetId="1">#REF!</definedName>
    <definedName name="ALTRES20">#REF!</definedName>
    <definedName name="ALTTRANS" localSheetId="1">#REF!</definedName>
    <definedName name="ALTTRANS">#REF!</definedName>
    <definedName name="AQTEMP1" localSheetId="1">#REF!</definedName>
    <definedName name="AQTEMP1">#REF!</definedName>
    <definedName name="AQTEMP2" localSheetId="1">#REF!</definedName>
    <definedName name="AQTEMP2">#REF!</definedName>
    <definedName name="_xlnm.Print_Area" localSheetId="1">'COMPOSIÇÕES'!$A$1:$G$662</definedName>
    <definedName name="_xlnm.Print_Area" localSheetId="0">'PLANILHA ORÇAMENTÁRIA'!$A$1:$H$277</definedName>
    <definedName name="Área_impressão_IM">#REF!</definedName>
    <definedName name="ARQ" localSheetId="1">#REF!</definedName>
    <definedName name="ARQ">#REF!</definedName>
    <definedName name="ARQ1" localSheetId="1">#REF!</definedName>
    <definedName name="ARQ1">#REF!</definedName>
    <definedName name="ARQERR" localSheetId="1">#REF!</definedName>
    <definedName name="ARQERR">#REF!</definedName>
    <definedName name="ARQPLAN" localSheetId="1">#REF!</definedName>
    <definedName name="ARQPLAN">#REF!</definedName>
    <definedName name="ARQT" localSheetId="1">#REF!</definedName>
    <definedName name="ARQT">#REF!</definedName>
    <definedName name="ARQTEMP" localSheetId="1">#REF!</definedName>
    <definedName name="ARQTEMP">#REF!</definedName>
    <definedName name="ARQTXT" localSheetId="1">#REF!</definedName>
    <definedName name="ARQTXT">#REF!</definedName>
    <definedName name="ARTEMP" localSheetId="1">#REF!</definedName>
    <definedName name="ARTEMP">#REF!</definedName>
    <definedName name="bebqt" localSheetId="1">#REF!</definedName>
    <definedName name="bebqt">#REF!</definedName>
    <definedName name="BuiltIn_Print_Area">#REF!</definedName>
    <definedName name="BuiltIn_Print_Area___0">#REF!</definedName>
    <definedName name="BuiltIn_Print_Titles">#REF!</definedName>
    <definedName name="BuiltIn_Print_Titles___0">#REF!</definedName>
    <definedName name="CAMP" localSheetId="1">#REF!</definedName>
    <definedName name="CAMP">#REF!</definedName>
    <definedName name="CHAFQT" localSheetId="1">#REF!</definedName>
    <definedName name="CHAFQT">#REF!</definedName>
    <definedName name="COLSUB" localSheetId="1">#REF!</definedName>
    <definedName name="COLSUB">#REF!</definedName>
    <definedName name="CONT1" localSheetId="1">#REF!</definedName>
    <definedName name="CONT1">#REF!</definedName>
    <definedName name="CONT2" localSheetId="1">#REF!</definedName>
    <definedName name="CONT2">#REF!</definedName>
    <definedName name="CONT3" localSheetId="1">#REF!</definedName>
    <definedName name="CONT3">#REF!</definedName>
    <definedName name="CONTAIT" localSheetId="1">#REF!</definedName>
    <definedName name="CONTAIT">#REF!</definedName>
    <definedName name="CONTREC" localSheetId="1">#REF!</definedName>
    <definedName name="CONTREC">#REF!</definedName>
    <definedName name="CONTRES" localSheetId="1">#REF!</definedName>
    <definedName name="CONTRES">#REF!</definedName>
    <definedName name="DERIVQT" localSheetId="1">#REF!</definedName>
    <definedName name="DERIVQT">#REF!</definedName>
    <definedName name="DIFQT" localSheetId="1">#REF!</definedName>
    <definedName name="DIFQT">#REF!</definedName>
    <definedName name="Excel_BuiltIn_Print_Titles_1" localSheetId="1">#REF!</definedName>
    <definedName name="Excel_BuiltIn_Print_Titles_1">#REF!</definedName>
    <definedName name="FSDFSDFSD">#REF!</definedName>
    <definedName name="h">#REF!</definedName>
    <definedName name="HOJE" localSheetId="1">#REF!</definedName>
    <definedName name="HOJE">#REF!</definedName>
    <definedName name="IMPF" localSheetId="1">#REF!</definedName>
    <definedName name="IMPF">#REF!</definedName>
    <definedName name="IMPI" localSheetId="1">#REF!</definedName>
    <definedName name="IMPI">#REF!</definedName>
    <definedName name="ITEMCONT" localSheetId="1">#REF!</definedName>
    <definedName name="ITEMCONT">#REF!</definedName>
    <definedName name="ITEMDER" localSheetId="1">#REF!</definedName>
    <definedName name="ITEMDER">#REF!</definedName>
    <definedName name="ITEMR20" localSheetId="1">#REF!</definedName>
    <definedName name="ITEMR20">#REF!</definedName>
    <definedName name="ITENS" localSheetId="1">#REF!</definedName>
    <definedName name="ITENS">#REF!</definedName>
    <definedName name="ITENS0" localSheetId="1">#REF!</definedName>
    <definedName name="ITENS0">#REF!</definedName>
    <definedName name="ITENS1" localSheetId="1">#REF!</definedName>
    <definedName name="ITENS1">#REF!</definedName>
    <definedName name="ITENSP" localSheetId="1">#REF!</definedName>
    <definedName name="ITENSP">#REF!</definedName>
    <definedName name="ITENSPMED" localSheetId="1">#REF!</definedName>
    <definedName name="ITENSPMED">#REF!</definedName>
    <definedName name="kapa">'[3]Resumo'!$I$2</definedName>
    <definedName name="LIN" localSheetId="1">#REF!</definedName>
    <definedName name="LIN">#REF!</definedName>
    <definedName name="LISTSEL" localSheetId="1">#REF!</definedName>
    <definedName name="LISTSEL">#REF!</definedName>
    <definedName name="MARCAX" localSheetId="1">#REF!</definedName>
    <definedName name="MARCAX">#REF!</definedName>
    <definedName name="martha" localSheetId="1">#REF!</definedName>
    <definedName name="martha">#REF!</definedName>
    <definedName name="MENUBOM" localSheetId="1">#REF!</definedName>
    <definedName name="MENUBOM">#REF!</definedName>
    <definedName name="MENUEQP" localSheetId="1">#REF!</definedName>
    <definedName name="MENUEQP">#REF!</definedName>
    <definedName name="MENUFIM" localSheetId="1">#REF!</definedName>
    <definedName name="MENUFIM">#REF!</definedName>
    <definedName name="MENUMED" localSheetId="1">#REF!</definedName>
    <definedName name="MENUMED">#REF!</definedName>
    <definedName name="MENUOBRA" localSheetId="1">#REF!</definedName>
    <definedName name="MENUOBRA">#REF!</definedName>
    <definedName name="MENUOUT" localSheetId="1">#REF!</definedName>
    <definedName name="MENUOUT">#REF!</definedName>
    <definedName name="MENUOUTRO" localSheetId="1">#REF!</definedName>
    <definedName name="MENUOUTRO">#REF!</definedName>
    <definedName name="menures" localSheetId="1">#REF!</definedName>
    <definedName name="menures">#REF!</definedName>
    <definedName name="MURBOMB" localSheetId="1">#REF!</definedName>
    <definedName name="MURBOMB">#REF!</definedName>
    <definedName name="NDATA" localSheetId="1">#REF!</definedName>
    <definedName name="NDATA">#REF!</definedName>
    <definedName name="NUCOPIAS" localSheetId="1">#REF!</definedName>
    <definedName name="NUCOPIAS">#REF!</definedName>
    <definedName name="OBRALOC" localSheetId="1">#REF!</definedName>
    <definedName name="OBRALOC">#REF!</definedName>
    <definedName name="OBRASEL" localSheetId="1">#REF!</definedName>
    <definedName name="OBRASEL">#REF!</definedName>
    <definedName name="PDER" localSheetId="1">#REF!</definedName>
    <definedName name="PDER">#REF!</definedName>
    <definedName name="PDIVERS" localSheetId="1">#REF!</definedName>
    <definedName name="PDIVERS">#REF!</definedName>
    <definedName name="PEMD" localSheetId="1">#REF!</definedName>
    <definedName name="PEMD">#REF!</definedName>
    <definedName name="PIEQUIP" localSheetId="1">#REF!</definedName>
    <definedName name="PIEQUIP">#REF!</definedName>
    <definedName name="PMUR" localSheetId="1">#REF!</definedName>
    <definedName name="PMUR">#REF!</definedName>
    <definedName name="QT100" localSheetId="1">#REF!</definedName>
    <definedName name="QT100">#REF!</definedName>
    <definedName name="QT2" localSheetId="1">#REF!</definedName>
    <definedName name="QT2">#REF!</definedName>
    <definedName name="QT3" localSheetId="1">#REF!</definedName>
    <definedName name="QT3">#REF!</definedName>
    <definedName name="QT4" localSheetId="1">#REF!</definedName>
    <definedName name="QT4">#REF!</definedName>
    <definedName name="QT50" localSheetId="1">#REF!</definedName>
    <definedName name="QT50">#REF!</definedName>
    <definedName name="QT75" localSheetId="1">#REF!</definedName>
    <definedName name="QT75">#REF!</definedName>
    <definedName name="QTNULO" localSheetId="1">#REF!</definedName>
    <definedName name="QTNULO">#REF!</definedName>
    <definedName name="QTPADRAO" localSheetId="1">#REF!</definedName>
    <definedName name="QTPADRAO">#REF!</definedName>
    <definedName name="QTRES" localSheetId="1">#REF!</definedName>
    <definedName name="QTRES">#REF!</definedName>
    <definedName name="QUANT" localSheetId="1">#REF!</definedName>
    <definedName name="QUANT">#REF!</definedName>
    <definedName name="QUANTP" localSheetId="1">#REF!</definedName>
    <definedName name="QUANTP">#REF!</definedName>
    <definedName name="RARQIMP" localSheetId="1">#REF!</definedName>
    <definedName name="RARQIMP">#REF!</definedName>
    <definedName name="RECADUC" localSheetId="1">#REF!</definedName>
    <definedName name="RECADUC">#REF!</definedName>
    <definedName name="ridbeb" localSheetId="1">#REF!</definedName>
    <definedName name="ridbeb">#REF!</definedName>
    <definedName name="RIDCHAF" localSheetId="1">#REF!</definedName>
    <definedName name="RIDCHAF">#REF!</definedName>
    <definedName name="ridres05" localSheetId="1">#REF!</definedName>
    <definedName name="ridres05">#REF!</definedName>
    <definedName name="RIDRES10" localSheetId="1">#REF!</definedName>
    <definedName name="RIDRES10">#REF!</definedName>
    <definedName name="RIDRES15" localSheetId="1">#REF!</definedName>
    <definedName name="RIDRES15">#REF!</definedName>
    <definedName name="ROMANO" localSheetId="1">#REF!</definedName>
    <definedName name="ROMANO">#REF!</definedName>
    <definedName name="ROTCOMP" localSheetId="1">#REF!</definedName>
    <definedName name="ROTCOMP">#REF!</definedName>
    <definedName name="ROTIMP" localSheetId="1">#REF!</definedName>
    <definedName name="ROTIMP">#REF!</definedName>
    <definedName name="ROTRES" localSheetId="1">#REF!</definedName>
    <definedName name="ROTRES">#REF!</definedName>
    <definedName name="RQTADUC" localSheetId="1">#REF!</definedName>
    <definedName name="RQTADUC">#REF!</definedName>
    <definedName name="rqtbeb" localSheetId="1">#REF!</definedName>
    <definedName name="rqtbeb">#REF!</definedName>
    <definedName name="RQTCHAF" localSheetId="1">#REF!</definedName>
    <definedName name="RQTCHAF">#REF!</definedName>
    <definedName name="RQTDERV" localSheetId="1">#REF!</definedName>
    <definedName name="RQTDERV">#REF!</definedName>
    <definedName name="rres05" localSheetId="1">#REF!</definedName>
    <definedName name="rres05">#REF!</definedName>
    <definedName name="RRES10" localSheetId="1">#REF!</definedName>
    <definedName name="RRES10">#REF!</definedName>
    <definedName name="RRES15" localSheetId="1">#REF!</definedName>
    <definedName name="RRES15">#REF!</definedName>
    <definedName name="RRES20" localSheetId="1">#REF!</definedName>
    <definedName name="RRES20">#REF!</definedName>
    <definedName name="RSEQ" localSheetId="1">#REF!</definedName>
    <definedName name="RSEQ">#REF!</definedName>
    <definedName name="RSUBTOT" localSheetId="1">#REF!</definedName>
    <definedName name="RSUBTOT">#REF!</definedName>
    <definedName name="rtitbeb" localSheetId="1">#REF!</definedName>
    <definedName name="rtitbeb">#REF!</definedName>
    <definedName name="RTITCHAF" localSheetId="1">#REF!</definedName>
    <definedName name="RTITCHAF">#REF!</definedName>
    <definedName name="rtubos" localSheetId="1">#REF!</definedName>
    <definedName name="rtubos">#REF!</definedName>
    <definedName name="S">#REF!</definedName>
    <definedName name="SFSDFSDF">#REF!</definedName>
    <definedName name="SHARED_FORMULA_0">NA()</definedName>
    <definedName name="SHARED_FORMULA_1">NA()</definedName>
    <definedName name="SHARED_FORMULA_10">NA()</definedName>
    <definedName name="SHARED_FORMULA_11">NA()</definedName>
    <definedName name="SHARED_FORMULA_12">NA()</definedName>
    <definedName name="SHARED_FORMULA_13">NA()</definedName>
    <definedName name="SHARED_FORMULA_14">NA()</definedName>
    <definedName name="SHARED_FORMULA_15">NA()</definedName>
    <definedName name="SHARED_FORMULA_16">NA()</definedName>
    <definedName name="SHARED_FORMULA_17">NA()</definedName>
    <definedName name="SHARED_FORMULA_18">NA()</definedName>
    <definedName name="SHARED_FORMULA_19">NA()</definedName>
    <definedName name="SHARED_FORMULA_2">NA()</definedName>
    <definedName name="SHARED_FORMULA_20">NA()</definedName>
    <definedName name="SHARED_FORMULA_21">NA()</definedName>
    <definedName name="SHARED_FORMULA_22">NA()</definedName>
    <definedName name="SHARED_FORMULA_23">NA()</definedName>
    <definedName name="SHARED_FORMULA_24">NA()</definedName>
    <definedName name="SHARED_FORMULA_25">NA()</definedName>
    <definedName name="SHARED_FORMULA_26">NA()</definedName>
    <definedName name="SHARED_FORMULA_27">NA()</definedName>
    <definedName name="SHARED_FORMULA_28">NA()</definedName>
    <definedName name="SHARED_FORMULA_29">NA()</definedName>
    <definedName name="SHARED_FORMULA_3">NA()</definedName>
    <definedName name="SHARED_FORMULA_30">NA()</definedName>
    <definedName name="SHARED_FORMULA_31">NA()</definedName>
    <definedName name="SHARED_FORMULA_32">NA()</definedName>
    <definedName name="SHARED_FORMULA_33">NA()</definedName>
    <definedName name="SHARED_FORMULA_34">NA()</definedName>
    <definedName name="SHARED_FORMULA_35">NA()</definedName>
    <definedName name="SHARED_FORMULA_36">NA()</definedName>
    <definedName name="SHARED_FORMULA_37">NA()</definedName>
    <definedName name="SHARED_FORMULA_38">NA()</definedName>
    <definedName name="SHARED_FORMULA_39">NA()</definedName>
    <definedName name="SHARED_FORMULA_4">NA()</definedName>
    <definedName name="SHARED_FORMULA_40">NA()</definedName>
    <definedName name="SHARED_FORMULA_41">NA()</definedName>
    <definedName name="SHARED_FORMULA_42">NA()</definedName>
    <definedName name="SHARED_FORMULA_43">NA()</definedName>
    <definedName name="SHARED_FORMULA_44">NA()</definedName>
    <definedName name="SHARED_FORMULA_45">NA()</definedName>
    <definedName name="SHARED_FORMULA_46">NA()</definedName>
    <definedName name="SHARED_FORMULA_47">NA()</definedName>
    <definedName name="SHARED_FORMULA_48">NA()</definedName>
    <definedName name="SHARED_FORMULA_49">NA()</definedName>
    <definedName name="SHARED_FORMULA_5">NA()</definedName>
    <definedName name="SHARED_FORMULA_50">NA()</definedName>
    <definedName name="SHARED_FORMULA_51">NA()</definedName>
    <definedName name="SHARED_FORMULA_52">NA()</definedName>
    <definedName name="SHARED_FORMULA_53">NA()</definedName>
    <definedName name="SHARED_FORMULA_54">NA()</definedName>
    <definedName name="SHARED_FORMULA_55">NA()</definedName>
    <definedName name="SHARED_FORMULA_56">NA()</definedName>
    <definedName name="SHARED_FORMULA_57">NA()</definedName>
    <definedName name="SHARED_FORMULA_58">NA()</definedName>
    <definedName name="SHARED_FORMULA_59">NA()</definedName>
    <definedName name="SHARED_FORMULA_6">NA()</definedName>
    <definedName name="SHARED_FORMULA_60">NA()</definedName>
    <definedName name="SHARED_FORMULA_61">NA()</definedName>
    <definedName name="SHARED_FORMULA_62">NA()</definedName>
    <definedName name="SHARED_FORMULA_7">NA()</definedName>
    <definedName name="SHARED_FORMULA_8">NA()</definedName>
    <definedName name="SHARED_FORMULA_9">NA()</definedName>
    <definedName name="SISTEM1" localSheetId="1">#REF!</definedName>
    <definedName name="SISTEM1">#REF!</definedName>
    <definedName name="SISTEM2" localSheetId="1">#REF!</definedName>
    <definedName name="SISTEM2">#REF!</definedName>
    <definedName name="SUBDER" localSheetId="1">#REF!</definedName>
    <definedName name="SUBDER">#REF!</definedName>
    <definedName name="SUBDIV" localSheetId="1">#REF!</definedName>
    <definedName name="SUBDIV">#REF!</definedName>
    <definedName name="SUBEQP" localSheetId="1">#REF!</definedName>
    <definedName name="SUBEQP">#REF!</definedName>
    <definedName name="SUBMUR" localSheetId="1">#REF!</definedName>
    <definedName name="SUBMUR">#REF!</definedName>
    <definedName name="titbeb" localSheetId="1">#REF!</definedName>
    <definedName name="titbeb">#REF!</definedName>
    <definedName name="TITCHAF" localSheetId="1">#REF!</definedName>
    <definedName name="TITCHAF">#REF!</definedName>
    <definedName name="_xlnm.Print_Titles" localSheetId="0">'PLANILHA ORÇAMENTÁRIA'!$1:$1</definedName>
    <definedName name="TOTQTS" localSheetId="1">#REF!</definedName>
    <definedName name="TOTQTS">#REF!</definedName>
    <definedName name="TTT" localSheetId="1">#REF!</definedName>
    <definedName name="TTT">#REF!</definedName>
    <definedName name="TXTEQUIP" localSheetId="1">#REF!</definedName>
    <definedName name="TXTEQUIP">#REF!</definedName>
    <definedName name="TXTMARCA" localSheetId="1">#REF!</definedName>
    <definedName name="TXTMARCA">#REF!</definedName>
    <definedName name="TXTMOD" localSheetId="1">#REF!</definedName>
    <definedName name="TXTMOD">#REF!</definedName>
    <definedName name="TXTPOT" localSheetId="1">#REF!</definedName>
    <definedName name="TXTPOT">#REF!</definedName>
    <definedName name="VB">#REF!</definedName>
    <definedName name="WITENS" localSheetId="1">#REF!</definedName>
    <definedName name="WITENS">#REF!</definedName>
    <definedName name="WNMLOCAL" localSheetId="1">#REF!</definedName>
    <definedName name="WNMLOCAL">#REF!</definedName>
    <definedName name="WNMMUN" localSheetId="1">#REF!</definedName>
    <definedName name="WNMMUN">#REF!</definedName>
    <definedName name="WNMSERV" localSheetId="1">#REF!</definedName>
    <definedName name="WNMSERV">#REF!</definedName>
    <definedName name="XALFA" localSheetId="1">#REF!</definedName>
    <definedName name="XALFA">#REF!</definedName>
    <definedName name="XDATA" localSheetId="1">#REF!</definedName>
    <definedName name="XDATA">#REF!</definedName>
    <definedName name="XITEM" localSheetId="1">#REF!</definedName>
    <definedName name="XITEM">#REF!</definedName>
    <definedName name="XLOC" localSheetId="1">#REF!</definedName>
    <definedName name="XLOC">#REF!</definedName>
    <definedName name="xnInforme_quantos_bebedouros____bebqt__if_bebqt__0__xlQt_bebedouros_invalida___ENTER_p_reinformar__xresp__branch_rqtderv" localSheetId="1">#REF!</definedName>
    <definedName name="xnInforme_quantos_bebedouros____bebqt__if_bebqt__0__xlQt_bebedouros_invalida___ENTER_p_reinformar__xresp__branch_rqtderv">#REF!</definedName>
    <definedName name="XNUCOPIAS" localSheetId="1">#REF!</definedName>
    <definedName name="XNUCOPIAS">#REF!</definedName>
    <definedName name="XRESP" localSheetId="1">#REF!</definedName>
    <definedName name="XRESP">#REF!</definedName>
    <definedName name="XTITRES" localSheetId="1">#REF!</definedName>
    <definedName name="XTITRES">#REF!</definedName>
  </definedNames>
  <calcPr fullCalcOnLoad="1"/>
</workbook>
</file>

<file path=xl/sharedStrings.xml><?xml version="1.0" encoding="utf-8"?>
<sst xmlns="http://schemas.openxmlformats.org/spreadsheetml/2006/main" count="3328" uniqueCount="646">
  <si>
    <t>ITEM</t>
  </si>
  <si>
    <t>ORIGEM</t>
  </si>
  <si>
    <t>CÓDIGO</t>
  </si>
  <si>
    <t>DESCRIÇÃO</t>
  </si>
  <si>
    <t>UND.</t>
  </si>
  <si>
    <t>QUAN.</t>
  </si>
  <si>
    <t>VALOR UNIT.</t>
  </si>
  <si>
    <t>VALOR TOTAL</t>
  </si>
  <si>
    <t>SERVIÇOS PRELIMINARES</t>
  </si>
  <si>
    <t>Taxas</t>
  </si>
  <si>
    <t>CONFEA</t>
  </si>
  <si>
    <t>ART</t>
  </si>
  <si>
    <t>UN</t>
  </si>
  <si>
    <t>Mobilização e Desmobilização</t>
  </si>
  <si>
    <t>MÊS</t>
  </si>
  <si>
    <t>PLACA DE OBRA EM CHAPA DE ACO GALVANIZADO</t>
  </si>
  <si>
    <t>M²</t>
  </si>
  <si>
    <t>H</t>
  </si>
  <si>
    <t>M</t>
  </si>
  <si>
    <t>LIMPEZA DA OBRA</t>
  </si>
  <si>
    <t>SUBTOTAL ESTIMADO</t>
  </si>
  <si>
    <t xml:space="preserve">BDI </t>
  </si>
  <si>
    <t>CUSTO TOTAL ESTIMADO</t>
  </si>
  <si>
    <t xml:space="preserve">Despesas Administrativas </t>
  </si>
  <si>
    <t xml:space="preserve">Descrição                            </t>
  </si>
  <si>
    <t>Unid</t>
  </si>
  <si>
    <t>PLANILHA</t>
  </si>
  <si>
    <t xml:space="preserve">Descrição                               </t>
  </si>
  <si>
    <t xml:space="preserve">Coeficiente      </t>
  </si>
  <si>
    <t xml:space="preserve">Preço Unitário </t>
  </si>
  <si>
    <t xml:space="preserve">Preço Total    </t>
  </si>
  <si>
    <t>KG</t>
  </si>
  <si>
    <t>MERCADO</t>
  </si>
  <si>
    <t>CP 004</t>
  </si>
  <si>
    <t>TRANSPORTE DE ENTULHO EM CAÇAMBAS DE ENTULHO 5M³ (TAXAS SLU INCLUSAS)</t>
  </si>
  <si>
    <t>MÉDIA DOS PREÇOS</t>
  </si>
  <si>
    <t>Segurança do Trabalho</t>
  </si>
  <si>
    <t>Delta Locação de Equipamentos e Containers Eirelli</t>
  </si>
  <si>
    <t>Rei do Entulho</t>
  </si>
  <si>
    <t>01</t>
  </si>
  <si>
    <t>02</t>
  </si>
  <si>
    <t>Sia Molas - Sia Entulhos</t>
  </si>
  <si>
    <t>Só Entulhos</t>
  </si>
  <si>
    <t>03</t>
  </si>
  <si>
    <t>04</t>
  </si>
  <si>
    <t>Caçamba de Entulho</t>
  </si>
  <si>
    <t>CJ</t>
  </si>
  <si>
    <t>Total</t>
  </si>
  <si>
    <t>COMPOSIÇÃO</t>
  </si>
  <si>
    <t>Limpeza</t>
  </si>
  <si>
    <t>CP 001</t>
  </si>
  <si>
    <t>CP 002</t>
  </si>
  <si>
    <t>CP 003</t>
  </si>
  <si>
    <t>GERAL</t>
  </si>
  <si>
    <t>CHP</t>
  </si>
  <si>
    <t>CHI</t>
  </si>
  <si>
    <t>BASE 100722</t>
  </si>
  <si>
    <t>02.0</t>
  </si>
  <si>
    <t>03.0</t>
  </si>
  <si>
    <t>01.0</t>
  </si>
  <si>
    <t>04.0</t>
  </si>
  <si>
    <t>05.0</t>
  </si>
  <si>
    <t>Projetos</t>
  </si>
  <si>
    <t>36145+12895+36142+12892+36152+36148+36153</t>
  </si>
  <si>
    <t>FORNECIMENTO DE FERRAMENTAS/EQUIPAMENTOS (EPI's/EPC's) E CONSUMÍVEIS</t>
  </si>
  <si>
    <t>90775+90779</t>
  </si>
  <si>
    <t>M³</t>
  </si>
  <si>
    <t>SERVENTE COM ENCARGOS COMPLEMENTARES</t>
  </si>
  <si>
    <t>ANOTAÇÃO DE RESPONSABILIDADE TÉCNICA DO PROJETO</t>
  </si>
  <si>
    <t>CP 005</t>
  </si>
  <si>
    <t>CP 006</t>
  </si>
  <si>
    <t>CP 007</t>
  </si>
  <si>
    <t>CP 008</t>
  </si>
  <si>
    <t>CP 009</t>
  </si>
  <si>
    <t>Andaime</t>
  </si>
  <si>
    <t>ANOTAÇÃO DE RESPONSABILIDADE TÉCNICA</t>
  </si>
  <si>
    <t>LOCACAO DE ANDAIME METALICO TUBULAR DE ENCAIXE, TIPO DE TORRE, COM LARGURA DE 1 ATE 1,5 M E ALTURA DE *1,00* M</t>
  </si>
  <si>
    <t>MXMES</t>
  </si>
  <si>
    <t>TABUA DE MADEIRA NAO APARELHADA *2,5 X 30 CM (1 X 12 ") PINUS, MISTA OU EQUIVALENTE DA REGIÃO</t>
  </si>
  <si>
    <t>MONTAGEM E DESMONTAGEM DE ANDAIME TUBULAR TIPO TORRE</t>
  </si>
  <si>
    <t>BUCHA DE NYLON SEM ABA S10, COM PARAFUSO DE 6,10 X 65 MM EM ACO ZINCADO COM ROSCA SOBERBA, CABECA CHATA E FENDA PHILLIPS</t>
  </si>
  <si>
    <t>CP 006A</t>
  </si>
  <si>
    <t>01.05</t>
  </si>
  <si>
    <t>01.05.01</t>
  </si>
  <si>
    <t>01.05.02</t>
  </si>
  <si>
    <t>06.0</t>
  </si>
  <si>
    <t>07.0</t>
  </si>
  <si>
    <t>08.0</t>
  </si>
  <si>
    <t>LOCAÇÃO DE CONTAINER 2,30 X 6,00 M, ALT. 2,50 M, COM 1 SANITÁRIO, PARA ESCRITÓRIO COMPLETO, SEM DIVISÓRIAS INTERNAS</t>
  </si>
  <si>
    <t>01.02.02</t>
  </si>
  <si>
    <t>M2</t>
  </si>
  <si>
    <t>CP 001A</t>
  </si>
  <si>
    <t>MAGAZINE LUIZA</t>
  </si>
  <si>
    <t>JANELA DE AÇO TIPO BASCULANTE, COM BATENTE, FERRAGENS, PINTURA ANTICORROSIVA, VIDRO, ACABAMENTO, ALIZAR E CONTRAMARCO - 100x120 CM</t>
  </si>
  <si>
    <t>LEROY MERLIN</t>
  </si>
  <si>
    <t>MADEIRA MADEIRA</t>
  </si>
  <si>
    <t>APLICAÇÃO MANUAL DE PINTURA COM TINTA TEXTURIZADA ACRÍLICA EM PANOS COM PRESENÇA DE VÃOS DE EDIFÍCIOS DE MÚLTIPLOS PAVIMENTOS, UMA COR</t>
  </si>
  <si>
    <t>APLICAÇÃO E LIXAMENTO DA MASSA LÁTEX EM PAREDES, DUAS DEMÃOS</t>
  </si>
  <si>
    <t>APLICAÇÃO MANUAL DE PINTURA COM TINTA LÁTEX ACRÍLICA EM PAREDES, DUAS DEMÃOS</t>
  </si>
  <si>
    <t>ELEMENTO VAZADO DE CONCRETO, VENEZIANA *39 x 22 x 15 CM</t>
  </si>
  <si>
    <t>PEDREIRO COM ENCARGOS COMPLEMENTARES</t>
  </si>
  <si>
    <t>ARGAMASSA TRAÇO 1:3, PREPARO MECÂNICO COM BETONEIRA 600L</t>
  </si>
  <si>
    <t>M3</t>
  </si>
  <si>
    <t>EXECUÇÃO DE PASSEIO (CALÇADA) OU PISO DE CONCRETO MOLDADO IN LOCO, USINADO, ACABAMENTO CONVENCIONAL, ESPESSURA 6 CM, ARMADO</t>
  </si>
  <si>
    <t>Passeio de concreto armado</t>
  </si>
  <si>
    <t>ARMADOR COM ENCARGOS COMPLEMENTARES</t>
  </si>
  <si>
    <t>ARMAÇÃO DE BLOCO, VIGA BALDRAME OU SAPATA UTILIZANDO AÇO CA-50 DE 10MM - MONTAGEM</t>
  </si>
  <si>
    <t>kg</t>
  </si>
  <si>
    <t>COBOGÓ VENEZIANA DE CONCRETO *39x22x15 CM, COM TELA ANTI-POMBO FORNECIMENTO E INSTALAÇÃO - OFICINAS</t>
  </si>
  <si>
    <t>APARELHO PARA CORTE E SOLDA OXI-ACETILENO SOBRE RODAS, INCLUSIVE CILINDROS E MAÇARICOS - CHP DIURNO</t>
  </si>
  <si>
    <t>APARELHO PARA CORTE E SOLDA OXI-ACETILENO SOBRE RODAS, INCLUSIVE CILINDROS E MAÇARICOS - CHI DIURNO</t>
  </si>
  <si>
    <t>REMOÇÃO DO MEZANINO EXISTENTE, COM REAPROVEITAMENTO</t>
  </si>
  <si>
    <t>CAIXA DE CONCRETO ARMADO PRE-MOLDADO, COM FUNDO E TAMPA, DIMENSOES DE 0,60 X 0,60 X 0,50</t>
  </si>
  <si>
    <t>CP 007A</t>
  </si>
  <si>
    <t>TUBO DE AÇO GALVANIZADO COM COSTURA, CLASSE MÉDIA, DN 65 (2 1/2"), CONEXÃO ROSQUEADA, INSTALADO EM REDE DE ALIMENTAÇÃO PARA HIDRANTE - FORNECIMENTO E INSTALAÇÃO</t>
  </si>
  <si>
    <t>ABRIGO PARA HIDRANTE, 90X60X17CM, COM REGISTRO GLOBO ANGULAR 45 GRAUS 2 1/2", ADAPTADOR STORZ 2 1/2", MANGUEIRA DE INCÊNDIO 20M, REDUÇÃO 2 1/2" X 1 1/2" E ESGUICHO EM LATÃO 1 1/2" - FORNECIMENTO E INSTALAÇÃO</t>
  </si>
  <si>
    <t>BOMBA CENTRÍFUGA, TRIFÁSICA, 3 CV OU 2,96  HP, HM 34 A 40 M, Q 8,6 A 14,8 M3/H - FORNECIMENTO E INSTALAÇÃO</t>
  </si>
  <si>
    <t>CAIXA ENTERRADA PARA RECALQUE NO PASSEIO 0,60X0,40X0,60M EM BLOCOS DE CONCRETO ESTRUTURAL</t>
  </si>
  <si>
    <t>TAMPA HIDRANTE DE RECALQUE 60X40CM FERRO FUNDIDO - FORNECIMENTO E INSTALAÇÃO</t>
  </si>
  <si>
    <t>BASE 73749/1</t>
  </si>
  <si>
    <t>ARAME RECOZIDO 16 BWG, D = 1,65 MM (0,016 KG/M) OU 18 BWG, D = 1,25 MM (0,01 KG/M)</t>
  </si>
  <si>
    <t>ALVENARIA DE VEDAÇÃO DE BLOCOS VAZADOS DE CONCRETO DE 9X19X39CM (ESPESSURA 9CM) DE PAREDES COM ÁREA LÍQUIDA MENOR QUE 6M² SEM VÃOS E ARGAMASSA DE ASSENTAMENTO COM PREPARO EM BETONEIRA. AF_06/2014</t>
  </si>
  <si>
    <t>EMBOÇO, PARA RECEBIMENTO DE CERÂMICA, EM ARGAMASSA TRAÇO 1:2:8, PREPARO MECÂNICO COM BETONEIRA 400L, APLICADO MANUALMENTE EM FACES INTERNAS DE PAREDES, PARA AMBIENTE COM ÁREA MENOR QUE 5M2, ESPESSURA DE 10MM, COM EXECUÇÃO DE TALISCAS. AF_06/2014</t>
  </si>
  <si>
    <t>CHAPISCO APLICADO EM ALVENARIAS E ESTRUTURAS DE CONCRETO INTERNAS, COM COLHER DE PEDREIRO.  ARGAMASSA TRAÇO 1:3 COM PREPARO EM BETONEIRA 400L. AF_06/2014</t>
  </si>
  <si>
    <t>88309</t>
  </si>
  <si>
    <t>88316</t>
  </si>
  <si>
    <t>MONTAGEM E DESMONTAGEM DE FÔRMA DE PILARES RETANGULARES E ESTRUTURAS SIMILARES COM ÁREA MÉDIA DAS SEÇÕES MENOR OU IGUAL A 0,25 M², PÉ-DIREITO SIMPLES, EM MADEIRA SERRADA, 2 UTILIZAÇÕES. AF_12/2015</t>
  </si>
  <si>
    <t>LASTRO DE BRITA 1 OU 2 NO FUNDO DA CAIXA, ESPESSURA MÍNIMA DA CAMADA 15 CM</t>
  </si>
  <si>
    <t>94970</t>
  </si>
  <si>
    <t>CONCRETO FCK = 20MPA, TRAÇO 1:2,7:3 (CIMENTO/ AREIA MÉDIA/ BRITA 1)  - PREPARO MECÂNICO COM BETONEIRA 600 L. AF_07/2016</t>
  </si>
  <si>
    <t>TAMPA HIDRANTE DE RECALQUE 60X40CM FERRO FUNDIDO</t>
  </si>
  <si>
    <t>QUALITY</t>
  </si>
  <si>
    <t>LFRIBEIROSISTEMAS</t>
  </si>
  <si>
    <t>BASE 83633</t>
  </si>
  <si>
    <t>FITA VEDA ROSCA EM ROLOS DE 18 MM X 50 M (L X C)</t>
  </si>
  <si>
    <t>CP 010</t>
  </si>
  <si>
    <t>CP 011</t>
  </si>
  <si>
    <t>AMERICANAS</t>
  </si>
  <si>
    <t>CP 012A</t>
  </si>
  <si>
    <t>CP 012</t>
  </si>
  <si>
    <t>EXTINTOR DE INCÊNDIO - VERMELHA</t>
  </si>
  <si>
    <t>HIDRANTE DE INCÊNDIO - (VERMELHA COM "H")</t>
  </si>
  <si>
    <t>ABRIGO DE MANGUEIRA E HIDRANTE - (VERMELHA COM MANGUEIRA)</t>
  </si>
  <si>
    <t>ALARME DE INCÊNDIO - (VERMELHA COM SIMBOLO "O" E ESCRITA)</t>
  </si>
  <si>
    <t>CENTRAL DE ALARME DE INCÊNDIO - (VERMELHA COM SIMBOLO)</t>
  </si>
  <si>
    <t>M1 - DESCRIÇÃO DOS SISTEMAS DE SEGURANÇA NA ENTRADA - VERDE</t>
  </si>
  <si>
    <t>M1 - DESCRIÇÃO DOS SISTEMAS DE SEGURANÇA NA QUADRA - VERDE</t>
  </si>
  <si>
    <t>MAPEAMENTO DAS ZONAS DA CENTRAL DE ALARME</t>
  </si>
  <si>
    <t>CP 013</t>
  </si>
  <si>
    <t>LUMINÁRIA DE EMERGÊNCIA INTELBRAS BLA2000 LUMENS COM BATERIA - FORNECIMENTO E INSTALAÇÃO</t>
  </si>
  <si>
    <t>88247</t>
  </si>
  <si>
    <t>AUXILIAR DE ELETRICISTA COM ENCARGOS COMPLEMENTARES</t>
  </si>
  <si>
    <t>88264</t>
  </si>
  <si>
    <t>ELETRICISTA COM ENCARGOS COMPLEMENTARES</t>
  </si>
  <si>
    <t>CP 013A</t>
  </si>
  <si>
    <t>LUMINÁRIA DE EMERGÊNCIA INTELBRAS BLA2000 LUMENS COM BATERIA</t>
  </si>
  <si>
    <t>ESTRELA</t>
  </si>
  <si>
    <t>BASE 97599</t>
  </si>
  <si>
    <t>RASGO EM ALVENARIA PARA ELETRODUTOS COM DIAMETROS MENORES OU IGUAIS A 40 MM. AF_05/2015</t>
  </si>
  <si>
    <t>QUEBRA EM ALVENARIA PARA INSTALAÇÃO DE CAIXA DE TOMADA (4X4 OU 4X2). AF_05/2015</t>
  </si>
  <si>
    <t>90466</t>
  </si>
  <si>
    <t>CHUMBAMENTO LINEAR EM ALVENARIA PARA RAMAIS/DISTRIBUIÇÃO COM DIÂMETROS MENORES OU IGUAIS A 40 MM. AF_05/2015</t>
  </si>
  <si>
    <t>ELETRODUTO FLEXÍVEL CORRUGADO, PVC, DN 20 MM (1/2"), PARA CIRCUITOS TERMINAIS, INSTALADO EM LAJE - FORNECIMENTO E INSTALAÇÃO. AF_12/2015</t>
  </si>
  <si>
    <t>ELETRODUTO FLEXÍVEL CORRUGADO, PVC, DN 20 MM (1/2"), PARA CIRCUITOS TERMINAIS, INSTALADO EM PAREDE - FORNECIMENTO E INSTALAÇÃO. AF_12/2015</t>
  </si>
  <si>
    <t>CAIXA OCTOGONAL 3" X 3", PVC, INSTALADA EM LAJE - FORNECIMENTO E INSTALAÇÃO. AF_12/2015</t>
  </si>
  <si>
    <t>CAIXA RETANGULAR 4" X 2" MÉDIA (1,30 M DO PISO), PVC, INSTALADA EM PAREDE - FORNECIMENTO E INSTALAÇÃO. AF_12/2015</t>
  </si>
  <si>
    <t>CP 015A</t>
  </si>
  <si>
    <t>CP 015</t>
  </si>
  <si>
    <t>CP 016</t>
  </si>
  <si>
    <t>PINTURA DE PISOS PARA DEMARCAÇÃO NOS PISOS DAS CAIXAS HIDRANTES, DOS EXTINTORES E DO HIDRANTE DE PASSEIO</t>
  </si>
  <si>
    <t>BASE 41595</t>
  </si>
  <si>
    <t>TINTA ACRILICA PREMIUM PARA PISO</t>
  </si>
  <si>
    <t>L</t>
  </si>
  <si>
    <t>FITA CREPE ROLO DE 25 MM X 50 M</t>
  </si>
  <si>
    <t>PINTOR COM ENCARGOS COMPLEMENTARES</t>
  </si>
  <si>
    <t>CP 014A</t>
  </si>
  <si>
    <t>DISJUNTOR TERMOMAGNÉTICO TRIPOLAR, CORRENTE NOMINAL DE 125A - FORNECIMENTO E INSTALAÇÃO</t>
  </si>
  <si>
    <t>DISJUNTOR MONOPOLAR TIPO DIN, CORRENTE NOMINAL DE 25 A - FORNECIMENTO E INSTALAÇÃO</t>
  </si>
  <si>
    <t>DISJUNTOR TRIPOLAR TIPO DIN, CORRENTE NOMINAL DE 50A - FORNECIMENTO E INSTALAÇÃO</t>
  </si>
  <si>
    <t>DISPOSITIVO DR, 4 POLOS, SENSIBILIDADE DE 30 MA, CORRENTE DE 25 A, TIPO AC</t>
  </si>
  <si>
    <t>DISPOSITIVO DPS CLASSE II, 1 POLO, TENSAO MAXIMA DE 275 V, CORRENTE MAXIMA DE *20* KA</t>
  </si>
  <si>
    <t>SAPATA CORRIDA</t>
  </si>
  <si>
    <t>COBOGÓ VENEZIANA DE CONCRETO *39x22x15 CM, COM TELA ANTI-POMBO FORNECIMENTO E INSTALAÇÃO - GALPÃO</t>
  </si>
  <si>
    <t>JANELA DE AÇO TIPO BASCULANTE - COM BATENTE, FERRAGENS, PINTURA ANTICORROSIVA, VIDRO, ACABAMENTO, ALIZAR E CONTRAMARCO. FORNECIMENTO E INSTALAÇÃO</t>
  </si>
  <si>
    <t>ENCARREGADO GERAL DE OBRAS COM ENCARGOS COMPLEMENTARES</t>
  </si>
  <si>
    <t>ALVENARIA DE BLOCOS DE CONCRETO ESTRUTURAL 14X19X39 CM, FBK = 4,5 MPA, UTILIZANDO PALHETA - GALPÃO</t>
  </si>
  <si>
    <t>ALVENARIA DE BLOCOS DE CONCRETO ESTRUTURAL 14X19X39 CM, FBK = 4,5 MPA, UTILIZANDO PALHETA - OFICINAS</t>
  </si>
  <si>
    <t>ESCAVAÇÃO MECANIZADA PARA SAPATA</t>
  </si>
  <si>
    <t>CONCRETAGEM DE SAPATAS, FCK 30 MPA, COM USO DE BOMBA LANÇAMENTO, ADENSAMENTO E ACABAMENTO</t>
  </si>
  <si>
    <t>ARMAÇÃO DE CINTA DE ALVENARIA ESTRUTURAL; DIÂMETRO DE 10,0 MM</t>
  </si>
  <si>
    <t>ARMAÇÃO VERTICAL DE ALVENARIA ESTRUTURAL; DIÂMETRO DE 10,0 MM</t>
  </si>
  <si>
    <t>ARMAÇÃO DE VERGA E CONTRAVERGA DE ALVENARIA ESTRUTURAL; DIÂMETRO DE 10,0 MM</t>
  </si>
  <si>
    <t>EXECUÇÃO DE PAVIMENTO INTERTRAVADO, COM BLOCO SEXTAVADO DE 25 X 25 CM, ESPESSURA 10 CM</t>
  </si>
  <si>
    <t>GRAUTEAMENTO DE CINTA INTERMEDIÁRIA OU DE CONTRAVERGA EM ALVENARIA ESTRUTURAL</t>
  </si>
  <si>
    <t>EXECUÇÃO E COMPACTAÇÃO DE BASE E OU SUB-BASE PARA PAVIMENTAÇÃO</t>
  </si>
  <si>
    <t>ESCAVAÇÃO HORIZONTAL EM SOLO DE 1A CATEGORIA COM TRATOR DE ESTEIRAS</t>
  </si>
  <si>
    <t>GUIA (MEIO-FIO) E SARJETA CONJUGADOS DE CONCRETO, MOLDADA IN LOCO EM TRECHO RETO COM EXTRUSORA, 45 CM BASE.</t>
  </si>
  <si>
    <t>PORTAO DE CORRER EM CHAPA TIPO PAINEL LAMBRIL QUADRADO, COM PORTA SOCIAL COMPLETA INCLUIDA, COM REQUADRO, ACABAMENTO NATURAL, COM TRILHOS E ROLDANAS</t>
  </si>
  <si>
    <t>Cobogó e pinturas</t>
  </si>
  <si>
    <t>PROJETO EXECUTIVO PAVIMENTAÇÃO</t>
  </si>
  <si>
    <t>Água fria</t>
  </si>
  <si>
    <t>PONTO DE CONSUMO TERMINAL DE ÁGUA FRIA (SUBRAMAL) COM TUBULAÇÃO DE PVC, DN 25 MM, INSTALADO EM RAMAL DE ÁGUA, INCLUSOS RASGO E CHUMBAMENTO EM ALVENARIA</t>
  </si>
  <si>
    <t>REGISTRO DE GAVETA BRUTO, LATÃO, ROSCÁVEL, 3/4", COM ACABAMENTO E CANOPLA CROMADOS - FORNECIMENTO E INSTALAÇÃO</t>
  </si>
  <si>
    <t>TUBO, PVC, SOLDÁVEL, DN 25 MM, INSTALADO EM RESERVAÇÃO DE ÁGUA - FORNECIMENTO E INSTALAÇÃO</t>
  </si>
  <si>
    <t>Esgoto</t>
  </si>
  <si>
    <t>TAMPAO FOFO ARTICULADO, CLASSE B125 CARGA MAX 12,5 T, REDONDO TAMPA 600 MM REDE PLUVIAL/ESGOTO</t>
  </si>
  <si>
    <t>CAIXA ENTERRADA SEPARADORA DE ÓLEO RETANGULAR, EM ALVENARIA COM BLOCOS DE CONCRETO, DIMENSÕES INTERNAS: 0,8 X 0,8 X 1,00 M</t>
  </si>
  <si>
    <t>CAIXA COM GRELHA RETANGULAR DE FERRO FUNDIDO, EM ALVENARIA COM TIJOLOS CERÂMICOS MACIÇOS, DIMENSÕES INTERNAS: 0,30 X 1,00 X 0,5 M</t>
  </si>
  <si>
    <t>TUBO PVC, SERIE NORMAL, ESGOTO PREDIAL, DN 40 MM, FORNECIDO E INSTALADO</t>
  </si>
  <si>
    <t>BOMBA CENTRÍFUGA, TRIFÁSICA, 10 CV OU 9,86  HP, HM 34 A 40 M, Q 8,6 A 14,8 M3/H - FORNECIMENTO E INSTALAÇÃO</t>
  </si>
  <si>
    <t>Abrigo</t>
  </si>
  <si>
    <t>Bomba centrífuga</t>
  </si>
  <si>
    <t>Sinalização - Placas de emergência</t>
  </si>
  <si>
    <t>Sinalização - Placas de objetos</t>
  </si>
  <si>
    <t>Sinalização - Placas informativas</t>
  </si>
  <si>
    <t>Iluminação</t>
  </si>
  <si>
    <t>TRANSFORMADOR DE DISTRIBUIÇÃO, 150 KVA, TRIFÁSICO, 60 HZ, CLASSE 15 KV, IMERSO EM ÓLEO MINERAL, INSTALAÇÃO EM POSTE - FORNECIMENTO E INSTALAÇÃO</t>
  </si>
  <si>
    <t>SUPORTE PARA TRANSFORMADOR EM POSTE DE CONCRETO CIRCULAR - FORNECIMENTO E INSTALAÇÃO</t>
  </si>
  <si>
    <t>Quadros e disjuntores</t>
  </si>
  <si>
    <t>PAREDE COM PLACAS DE GESSO ACARTONADO (DRYWALL), PARA USO INTERNO, COM DUAS FACES SIMPLES E ESTRUTURA METÁLICA COM GUIAS DUPLAS, SEM VÃOS</t>
  </si>
  <si>
    <t>COBOGÓ VENEZIANA DE CONCRETO *39x22x15 CM, COM TELA ANTI-POMBO FORNECIMENTO E INSTALAÇÃO</t>
  </si>
  <si>
    <t>RUFO EM CHAPA DE AÇO GALVANIZADO NÚMERO 24, CORTE DE 25 CM, INCLUSO TRANSPORTE VERTICAL</t>
  </si>
  <si>
    <t>Acessórios</t>
  </si>
  <si>
    <t>MASSA PLASTICA PARA MARMORE/GRANITO</t>
  </si>
  <si>
    <t>GRANITO PARA BANCADA, POLIDO, TIPO ANDORINHA/ QUARTZ/ CASTELO/ CORUMBA OU OUTROS EQUIVALENTES DA REGIAO, E=  *2,5* CM</t>
  </si>
  <si>
    <t>REJUNTE EPOXI, QUALQUER COR</t>
  </si>
  <si>
    <t>SUPORTE MAO-FRANCESA EM ACO, ABAS IGUAIS 40 CM, CAPACIDADE MINIMA 70 KG, BRANCO</t>
  </si>
  <si>
    <t>MARMORISTA/GRANITEIRO COM ENCARGOS COMPLEMENTARES</t>
  </si>
  <si>
    <t>0,5228000</t>
  </si>
  <si>
    <t>6,0000000</t>
  </si>
  <si>
    <t>1,0050000</t>
  </si>
  <si>
    <t>0,0211000</t>
  </si>
  <si>
    <t>2,0000000</t>
  </si>
  <si>
    <t>1,4944000</t>
  </si>
  <si>
    <t>0,9834000</t>
  </si>
  <si>
    <t>BANCADA DE GRANITO CINZA POLIDO, DE 270 X 70 CM , PARA PIA - FORNECIMENTO E INSTALAÇÃO</t>
  </si>
  <si>
    <t>CUBA DE EMBUTIR DE AÇO INOXIDÁVEL MÉDIA, INCLUSO VÁLVULA TIPO AMERICANA E SIFÃO  TIPO GARRAFA EM METAL CROMADO - FORNECIMENTO E INSTALAÇÃO</t>
  </si>
  <si>
    <t>TORNEIRA CROMADA DE MESA PARA LAVATÓRIO, TIPO MONOCOMANDO</t>
  </si>
  <si>
    <t>TUBO PVC, SERIE R, ESGOTO PREDIAL, DN 100 MM, FORNECIDO E INSTALADO</t>
  </si>
  <si>
    <t>REMOÇÃO DOS POSTES DE ILUMINAÇÃO</t>
  </si>
  <si>
    <t xml:space="preserve">GUINDAUTO HIDRÁULICO, CAPACIDADE MÁXIMA DE CARGA 3300 KG, MOMENTO MÁXIMO DE CARGA 5,8 TM, ALCANCE MÁXIMO HORIZONTAL 7,6 M, INCLUSIVE CAMINHÃO TOCO PBT 16.000 KG, POTÊNCIA DE 189 CV - CHP DIURNO </t>
  </si>
  <si>
    <t xml:space="preserve">GUINDAUTO HIDRÁULICO, CAPACIDADE MÁXIMA DE CARGA 3300 KG, MOMENTO MÁXIMO DE CARGA 5,8 TM, ALCANCE MÁXIMO HORIZONTAL 7,6 M, INCLUSIVE CAMINHÃO TOCO PBT 16.000 KG, POTÊNCIA DE 189 CV - CHI DIURNO </t>
  </si>
  <si>
    <t>Lojas americanas</t>
  </si>
  <si>
    <t>Leroy Merlin</t>
  </si>
  <si>
    <t>Casa do Eletricista</t>
  </si>
  <si>
    <t>FITA ISOLANTE ADESIVA ANTICHAMA, USO ATE 750 V, EM ROLO DE 19 MM X 5M</t>
  </si>
  <si>
    <t>LUMINARIA LED REFLETOR RETANGULAR BIVOLT, LUZ BRANCA, 6500K, 100 W, VIDA ÚTIL MÍNIMA DE 25.000 HORAS, LÚMENS MÍNIMO DE 7500 lm - FORNECIMENTO E INSTALAÇÃO</t>
  </si>
  <si>
    <t>Padrão de entrada</t>
  </si>
  <si>
    <t>CHAVE FUSIVEL PARA REDES DE DISTRIBUICAO, TENSAO DE 15,0 KV, CORRENTE NOMINAL DO PORTA FUSIVEL DE 100 A, CAPACIDADE DE INTERRUPCAO SIMETRICA DE 7,10 KA, CAPACIDADE DE INTERRUPCAO ASSIMETRICA 10,00 KA</t>
  </si>
  <si>
    <t>Eletro FM</t>
  </si>
  <si>
    <t>Eletrotrafo</t>
  </si>
  <si>
    <t>Elecon</t>
  </si>
  <si>
    <t>Kit Fecho Dentado com Fita Aço Inox 430 - 3/4"</t>
  </si>
  <si>
    <t>Loja das Abraçadeiras</t>
  </si>
  <si>
    <t>Supply Pack</t>
  </si>
  <si>
    <t>Cofermeta Ferramentas</t>
  </si>
  <si>
    <t>Elo Fusível 10K - 15 kV</t>
  </si>
  <si>
    <t>TEKY</t>
  </si>
  <si>
    <t>Cabo Cobre Rígido 95mm² Isolado HEPR 0,6/1kV 90° NBR 7286</t>
  </si>
  <si>
    <t>Santil Comercial Elétrica</t>
  </si>
  <si>
    <t>Eletroluz Materiais Elétricos</t>
  </si>
  <si>
    <t>Cabo Cobre Rígido Verde 50mm² Isolado HEPR 0,6/1kV 90° NBR 7286</t>
  </si>
  <si>
    <t>Anhanguera Ferramentas</t>
  </si>
  <si>
    <t>PARA-RAIOS DE DISTRIBUICAO, TENSAO NOMINAL 30 KV, CORRENTE NOMINAL DE DESCARGA 10 KA</t>
  </si>
  <si>
    <t>LUMINARIA LED REFLETOR RETANGULAR BIVOLT, LUZ BRANCA, 6500K, 100 W, VIDA ÚTIL MÍNIMA DE 30.000 HORAS, ÂNGULO DE ILUMINAÇÃO DE 120º, LÚMENS MÍNIMO DE 9000 lm</t>
  </si>
  <si>
    <t>Tomadas</t>
  </si>
  <si>
    <t>Serviços específicos</t>
  </si>
  <si>
    <t>Infraestrutura</t>
  </si>
  <si>
    <t>LUMINÁRIA LED INDUSTRIAL HIGH BAY SMD 200W BRANCO FRIO 6500K, BIVOLT, EL MÍNIMA DE 140LM/W, FP&gt;0,95, ÂNGULO DE ABERTURA DE 180º</t>
  </si>
  <si>
    <t>LUMINÁRIA LED INDUSTRIAL HIGH BAY SMD 200W BRANCO FRIO 6500K, BIVOLT, EL MÍNIMA DE 140LM/W, FP&gt;0,95, ÂNGULO DE ABERTURA DE 180º - FORNECIMENTO E INSTALAÇÃO</t>
  </si>
  <si>
    <t>Grupo RCA Lâmpadas</t>
  </si>
  <si>
    <t>Digital LED</t>
  </si>
  <si>
    <t>123 Comprou</t>
  </si>
  <si>
    <t>Magazine Luiza</t>
  </si>
  <si>
    <t>Lojas Americanas</t>
  </si>
  <si>
    <t>Smartgiro</t>
  </si>
  <si>
    <t>PONTO DE ILUMINAÇÃO INCLUINDO INTERRUPTOR SIMPLES, CAIXA ELÉTRICA, ELETRODUTO, CABO, RASGO, QUEBRA E CHUMBAMENTO</t>
  </si>
  <si>
    <t>PONTO DE TOMADA INCLUINDO TOMADA 20A/250V, CAIXA ELÉTRICA, ELETRODUTO, CABO, RASGO, QUEBRA E CHUMBAMENTO</t>
  </si>
  <si>
    <t>DISJUNTOR TERMOMAGNÉTICO CAIXA MOLDADA 3 PÓLOS 200A SCHNEIDER OU EQUIVALENTE TÉCNICO</t>
  </si>
  <si>
    <t>Life is on - Schneider</t>
  </si>
  <si>
    <t>Eletrorastro</t>
  </si>
  <si>
    <t xml:space="preserve">CORDOALHA DE COBRE NU 35 MM2 MEIO-DURO 7 FIOS (DIÂMETRO DE CADA FIO: 2,5 MM) </t>
  </si>
  <si>
    <t>PONTO DE TOMADA INDUSTRIAL INCLUINDO TOMADA 30A, CAIXA ELÉTRICA, ELETRODUTO, CABO, RASGO, QUEBRA E CHUMBAMENTO</t>
  </si>
  <si>
    <t>CABO DE COBRE FLEXÍVEL ISOLADO, 2,5 MM², ANTI-CHAMA 450/750 V, PARA CIRCUITOS TERMINAIS - FORNECIMENTO E INSTALAÇÃO. AF_12/2015</t>
  </si>
  <si>
    <t>2,2000000</t>
  </si>
  <si>
    <t>1,0000000</t>
  </si>
  <si>
    <t>12,6000000</t>
  </si>
  <si>
    <t>0,3750000</t>
  </si>
  <si>
    <t>TOMADA INDUSTRIAL DE EMBUTIR 3P+T 30 A, 440 V, COM TRAVA, COM PLACA</t>
  </si>
  <si>
    <t>ELETRODUTO DE FERRO GALVANIZADO FOGO PESADO 3"- NBR5624</t>
  </si>
  <si>
    <t>ELETRODUTO DE FERRO GALVANIZADO FOGO PESADO 3"- NBR5624 - FORNECIMENTO E INSTALAÇÃO</t>
  </si>
  <si>
    <t>FIXAÇÃO DE TUBOS VERTICAIS DE DIÂMETROS MARIORES QUE 75 MM, ABRAÇADEIRA METÁLICA RÍGIDA TIPO D 3"</t>
  </si>
  <si>
    <t>CP 014B</t>
  </si>
  <si>
    <t>CP 014C</t>
  </si>
  <si>
    <t>CP 014D</t>
  </si>
  <si>
    <t>CP 014E</t>
  </si>
  <si>
    <t>CP 014F</t>
  </si>
  <si>
    <t>DISPOSITIVO PROTEÇÃO CONTRA SURTO (DPS) CLASSE II MONOPOLAR 230 VCA 275 VCA 45 KA IP-20 - SCHNEIDER</t>
  </si>
  <si>
    <t>CAIXA PARA ABRIGO DAS TC'S, MODELO TR (550X1000X300 MM) DE AÇO CARBONO SAE 1008/1010</t>
  </si>
  <si>
    <t>CP 014G</t>
  </si>
  <si>
    <t>barra</t>
  </si>
  <si>
    <t>Teky</t>
  </si>
  <si>
    <t>Dimensional</t>
  </si>
  <si>
    <t>CP 014H</t>
  </si>
  <si>
    <t>CINTA CIRCULAR EM ACO GALVANIZADO DE 210 MM DE DIAMETRO PARA INSTALACAO DE TRANSFORMADOR EM POSTE DE CONCRETO</t>
  </si>
  <si>
    <t>TRANSFORMADOR DE CORRENTE 200/5A, TIPO JANELA, 720 VCA, TENSÃO DE ISOLAÇÃO 4 KV</t>
  </si>
  <si>
    <t>VOTMAC Geradores</t>
  </si>
  <si>
    <t>FUSIVEL NH 200 A 250 AMPERES, TAMANHO 1, CAPACIDADE DE INTERRUPCAO DE 120 KA TENSAO NOMIMNAL DE 500 V</t>
  </si>
  <si>
    <t>CAIXA PARA MEDIDOR POLIFASICO, EM POLICARBONATO / TERMOPLASTICO, PARA ALOJAR 1 DISJUNTOR (PADRAO DA CONCESSIONARIA LOCAL)</t>
  </si>
  <si>
    <t>CAIXA DE CONCRETO ARMADO PRE-MOLDADO, COM FUNDO E SEM TAMPA, DIMENSOES DE 0,40 X 0,40 X 0,40 M</t>
  </si>
  <si>
    <t>TAMPAO FOFO ARTICULADO P/ REGISTRO, CLASSE A15 CARGA MAX 1,5 T, *200 X 200* MM</t>
  </si>
  <si>
    <t>CP 017</t>
  </si>
  <si>
    <t>CAIXA DE ATERRAMENTO DE CONCRETO ARMADO PRÉ-MOLDADO E TAMPA DE FERRO T55</t>
  </si>
  <si>
    <t>HASTE DE ATERRAMENTO EM ACO COM 3,00 M DE COMPRIMENTO E DN = 5/8", REVESTIDA COM BAIXA CAMADA DE COBRE, COM CONECTOR</t>
  </si>
  <si>
    <t>BRAÇO SUPORTE TIPO C 15KV ZINCADO PARA REDE COMPACTA</t>
  </si>
  <si>
    <t>Polo Elétrica</t>
  </si>
  <si>
    <t>Judy Cabos</t>
  </si>
  <si>
    <t>CP 014I</t>
  </si>
  <si>
    <t>CURVA DE AÇO GALVANIZADO ELETROLÍTICO PARA ELETRODUTO 135º L 3"</t>
  </si>
  <si>
    <t>Quality tubos</t>
  </si>
  <si>
    <t>Multiseg</t>
  </si>
  <si>
    <t>ISOLADOR POLIMÉRICO 15KV TIPO BASTÃO</t>
  </si>
  <si>
    <t>CP 014J</t>
  </si>
  <si>
    <t>CP 014K</t>
  </si>
  <si>
    <t>PINO CURTO PARA ISOLADOR POLIMÉRICO 15 KV</t>
  </si>
  <si>
    <t>CP 014L</t>
  </si>
  <si>
    <t>CABO ALUMÍNIO NBR 11873 COBERTO XLPE 90° 15KV 1X 50 MM² - TENSÃO DE ISOLAÇÃO 15 KV</t>
  </si>
  <si>
    <t>Gigamax Condutores</t>
  </si>
  <si>
    <t>CP 018</t>
  </si>
  <si>
    <t>DISJUNTOR TIPO DIN/IEC, TRIPOLAR DE 10 ATE 50A TERMOMAGNETICO</t>
  </si>
  <si>
    <t>Acquafort</t>
  </si>
  <si>
    <t>View Tech</t>
  </si>
  <si>
    <t>CP 018A</t>
  </si>
  <si>
    <t>BARRAMENTO COBRE NEUTRO / TERRA 225A 1 X 1/8 40 PARAFUSOS PINTADO COM ISOLADORES</t>
  </si>
  <si>
    <t>QUADRO DE DISTRIBUICAO COM BARRAMENTO TRIFASICO, DE EMBUTIR, EM CHAPA DE ACO GALVANIZADO, PARA 30 DISJUNTORES DIN 225 A, COM FUNDO ISOLADOR - FORNECIMENTO E INSTALAÇÃO</t>
  </si>
  <si>
    <t>QUADRO GERAL DE DISTRIBUIÇÃO, DE EMBUTIR, METÁLICO, DIMENSÕES: 800X500X120 MM, PARA 36 DISJUNTORES, COM BARRAMENTO ISOLADO (PINTADO) – TRIFÁSICO 225A, BARRAMENTO NEUTRO E TERRA 40 FUROS, COM ISOLADORES, CANALETAS, TRILHO TIPO DIN, TAGS E ESPELHO DE POLICARBONATO TRANSPARENTE – REFERÊNCIA COMERCIAL: WOLTEC OU AJEL</t>
  </si>
  <si>
    <t>CABO DE COBRE FLEXÍVEL ISOLADO, 25 MM², ANTI-CHAMA, 0,6/1,0 KV, PARA CIRCUITOS TERMINAIS - FORNECIMENTO E INSTALAÇÃO</t>
  </si>
  <si>
    <t>CABO DE COBRE FLEXÍVEL ISOLADO, 4 MM², ANTI-CHAMA 450/750 V, PARA CIRCUITOS TERMINAIS - FORNECIMENTO E INSTALAÇÃO</t>
  </si>
  <si>
    <t>CABO DE COBRE FLEXÍVEL ISOLADO, 6 MM², ANTI-CHAMA 450/750 V, PARA CIRCUITOS TERMINAIS - FORNECIMENTO E INSTALAÇÃO</t>
  </si>
  <si>
    <t>ELETRODUTO DE AÇO GALVANIZADO, CLASSE LEVE, DN 25 MM, APARENTE - FORNECIMENTO E INSTALAÇÃO</t>
  </si>
  <si>
    <t>CABO DE COBRE FLEXÍVEL ISOLADO, 2,5 MM², ANTI-CHAMA 450/750 V, PARA CIRCUITOS TERMINAIS - FORNECIMENTO E INSTALAÇÃO</t>
  </si>
  <si>
    <t>ELETRODUTO FLEXÍVEL CORRUGADO, PVC, DN 1" - FORNECIMENTO E INSTALAÇÃO</t>
  </si>
  <si>
    <t>ELETRODUTO FLEXÍVEL CORRUGADO, PEAD, DN 50 - FORNECIMENTO E INSTALAÇÃO</t>
  </si>
  <si>
    <t>CP 014</t>
  </si>
  <si>
    <t>CP 014M</t>
  </si>
  <si>
    <t>INSTALAÇÃO DE EQUIPAMENTOS PARA A READEQUAÇÃO DE ENTRADA DE ENERGIA</t>
  </si>
  <si>
    <t>PERFILADO LISO CHAPA #14 ACABAMENTO PINTADO 38X19MM - barra 3m</t>
  </si>
  <si>
    <t>GUINDAUTO HIDRÁULICO, CAPACIDADE MÁXIMA DE CARGA 6200 KG, INCLUSIVE CAMINHÃO TOCO, CHP DIURNO</t>
  </si>
  <si>
    <t>MASSA ÚNICA, PARA RECEBIMENTO DE PINTURA, EM ARGAMASSA TRAÇO 1:2:8, PREPARO MECÂNICO, ESPESSURA DE 20 MM</t>
  </si>
  <si>
    <t>09.0</t>
  </si>
  <si>
    <t>10.0</t>
  </si>
  <si>
    <t>PINTURA COM TINTA ALQUÍDICA DE FUNDO E ACABAMENTO (ESMALTE SINTÉTICO VERMELHO) PULVERIZADA SOBRE PERFIL METÁLICO - REDE DE ALIMENTAÇÃO PARA HIDRANTE</t>
  </si>
  <si>
    <t>FABRICAÇÃO, MONTAGEM E DESMONTAGEM DE FÔRMA PARA SAPATA, EM MADEIRA SERRADA, E=25 MM, 4 UTILIZAÇÕES</t>
  </si>
  <si>
    <t>97498*</t>
  </si>
  <si>
    <t>TUBO DE AÇO GALVANIZADO COM COSTURA, CLASSE MÉDIA, DN 15 (1/2"), CONEXÃO ROSQUEADA, INSTALADO EM REDE DE ALIMENTAÇÃO PARA HIDRANTE - FORNECIMENTO E INSTALAÇÃO</t>
  </si>
  <si>
    <t>JOELHO 90 GRAUS, EM FERRO GALVANIZADO, DN 65 (2 1/2"), CONEXÃO ROSQUEADA, INSTALADO EM REDE DE ALIMENTAÇÃO PARA HIDRANTE - FORNECIMENTO E INSTALAÇÃO</t>
  </si>
  <si>
    <t>92382*</t>
  </si>
  <si>
    <t>JOELHO 90 GRAUS, EM FERRO GALVANIZADO, DN 15 (1/2"), CONEXÃO ROSQUEADA, INSTALADO EM REDE DE ALIMENTAÇÃO PARA HIDRANTE - FORNECIMENTO E INSTALAÇÃO</t>
  </si>
  <si>
    <t>TÊ, EM FERRO GALVANIZADO, CONEXÃO ROSQUEADA, DN 65 (2 1/2"), INSTALADO EM REDE DE ALIMENTAÇÃO PARA HIDRANTE - FORNECIMENTO E INSTALAÇÃO</t>
  </si>
  <si>
    <t>SPDA</t>
  </si>
  <si>
    <t>DISJUNTOR TIPO DIN/IEC, TRIPOLAR DE 40A TERMOMAGNETICO</t>
  </si>
  <si>
    <t>DISJUNTOR TIPO DIN/IEC, TRIPOLAR DE 20A TERMOMAGNETICO</t>
  </si>
  <si>
    <t>DISJUNTOR TIPO DIN/IEC, TRIPOLAR 63 A</t>
  </si>
  <si>
    <t>DISJUNTOR TIPO DIN/IEC, TRIPOLAR DE 10A TERMOMAGNETICO</t>
  </si>
  <si>
    <t>CP 019</t>
  </si>
  <si>
    <t>CP 019A</t>
  </si>
  <si>
    <t>CP 019B</t>
  </si>
  <si>
    <t>CP 019C</t>
  </si>
  <si>
    <t>Bloco de Contato Auxiliar 1NA - Tensão Nominal de Isolamento: 660 V; Corrente Térmica: 10 A; Durabilidade Elétrica: 500.000 ciclos; Durabilidade Mecânica: 1.000.000 ciclos</t>
  </si>
  <si>
    <t>RH Materiais Elétricos</t>
  </si>
  <si>
    <t>VIEWTECH</t>
  </si>
  <si>
    <t>Schneider Electric</t>
  </si>
  <si>
    <t>Sinaleiro LED Vermelho/Amarelo 127/220Vca Ø22mm</t>
  </si>
  <si>
    <t>Bloco de Contato 1NF para Botão de Comando 5A/380V</t>
  </si>
  <si>
    <t>Eletropeças</t>
  </si>
  <si>
    <t>PROESI</t>
  </si>
  <si>
    <t>Extra</t>
  </si>
  <si>
    <t>CP 019D</t>
  </si>
  <si>
    <t>CP 019E</t>
  </si>
  <si>
    <t>Borne a parafuso 16,0 mm</t>
  </si>
  <si>
    <t>CP 019F</t>
  </si>
  <si>
    <t>CP 019G</t>
  </si>
  <si>
    <t>Borne a parafuso 6,0 mm</t>
  </si>
  <si>
    <t>Borne a parafuso 2,5 mm</t>
  </si>
  <si>
    <t>ELETRORASTRO</t>
  </si>
  <si>
    <t>Casas Bahia</t>
  </si>
  <si>
    <t>Shoptime</t>
  </si>
  <si>
    <t>Contator Abb A9-30-10 24v50/60hz</t>
  </si>
  <si>
    <t>Fertron</t>
  </si>
  <si>
    <t>CP 019H</t>
  </si>
  <si>
    <t>CP 019I</t>
  </si>
  <si>
    <t>Autoeletronica</t>
  </si>
  <si>
    <t>Eletrosis</t>
  </si>
  <si>
    <t>Contator Auxiliar 1NA+1NF 690V 6A</t>
  </si>
  <si>
    <t>P&amp;R Automação Industrial</t>
  </si>
  <si>
    <t>ALFATRONIC</t>
  </si>
  <si>
    <t>Softstarter PSR16-600-70 100-240V 16A - Tensão operacional nominal: 600V, by-pass incorporado</t>
  </si>
  <si>
    <t xml:space="preserve">QUADRO DE COMANDO PARA SISTEMA DE BOMBAS DE INCÊNDIO, METÁLICO, DIMENSÕES: 800X500X120 MM –  COMPLETO –  FORNECIMENTO E INSTALAÇÃO </t>
  </si>
  <si>
    <t>CP 019J</t>
  </si>
  <si>
    <t>Quadro de comando metálico - 80x60x20 cm - com trilho din, isolador e canaletas</t>
  </si>
  <si>
    <t>Quadro de comando e cabeamento próprio</t>
  </si>
  <si>
    <t>CABO DE COBRE FLEXÍVEL ISOLADO, 1,5 MM², ANTI-CHAMA 450/750 V, PARA CIRCUITOS TERMINAIS - FORNECIMENTO E INSTALAÇÃO</t>
  </si>
  <si>
    <t>Iluminação de emergência</t>
  </si>
  <si>
    <t>PONTO DE ILUMINAÇÃO DE EMERGÊNCIA INCLUINDO CAIXA ELÉTRICA, ELETRODUTO, CABO, RASGO, QUEBRA E CHUMBAMENTO (EXCLUINDO LUMINÁRIA E LÂMPADA)</t>
  </si>
  <si>
    <t>BASE 93138</t>
  </si>
  <si>
    <t>CABO DE COBRE FLEXÍVEL ISOLADO, 1,5 MM², ANTI-CHAMA 450/750 V, PARA CIRCUITOS TERMINAIS - FORNECIMENTO E INSTALAÇÃO. AF_12/2015</t>
  </si>
  <si>
    <t>CP 020A</t>
  </si>
  <si>
    <t>CP 020</t>
  </si>
  <si>
    <t>CP 021</t>
  </si>
  <si>
    <t>PONTO FRIO</t>
  </si>
  <si>
    <t>MAGNUM DISTRIBUIDORA</t>
  </si>
  <si>
    <t>BLOCO DE ILUMINAÇÃO AUTÔNOMO BLA 2200</t>
  </si>
  <si>
    <t>CABO BLINDADO PARA INCÊNDIO DUAS VIAS 1,50MM - FORNECIMENTO E INSTALAÇÃO</t>
  </si>
  <si>
    <t>BASE 98307</t>
  </si>
  <si>
    <t>BASE 98297</t>
  </si>
  <si>
    <t>BASE 98302</t>
  </si>
  <si>
    <t>CP 022A</t>
  </si>
  <si>
    <t>CP 022</t>
  </si>
  <si>
    <t>CP 023A</t>
  </si>
  <si>
    <t>CP 023</t>
  </si>
  <si>
    <t>UPPER SEG</t>
  </si>
  <si>
    <t>COMMAND TECH</t>
  </si>
  <si>
    <t>CABO BLINDADO PARA INCÊNDIO DUAS VIAS 1,50MM²</t>
  </si>
  <si>
    <t>Contra Incêndio</t>
  </si>
  <si>
    <t>CENTRAL ALARME DE INCÊNDIO ENDEREÇÁVEL CIE 1125 INTELBRAS</t>
  </si>
  <si>
    <t>Contraincendio</t>
  </si>
  <si>
    <t>Netalarmes</t>
  </si>
  <si>
    <t>CP 024A</t>
  </si>
  <si>
    <t>CP 024</t>
  </si>
  <si>
    <t>CP 025A</t>
  </si>
  <si>
    <t>CENTRAL ALARME DE INCÊNDIO ENDEREÇÁVEL CIE 1125 INTELBRAS - FORNECIMENTO E INSTALAÇÃO</t>
  </si>
  <si>
    <t>SIRENE AUDIO VISUAL PARA ALARME DE INCENDIO INTELBRAS</t>
  </si>
  <si>
    <t>CP 025</t>
  </si>
  <si>
    <t>COMBATE A INCÊNDIO - EDIFICAÇÃO EXISTENTE</t>
  </si>
  <si>
    <t>EXTINTOR DE INCÊNDIO TIPO ÁGUA PRESSURIZADA - AP - 3A (10L)</t>
  </si>
  <si>
    <t>EXTINTOR DE INCÊNDIO TIPO PÓ QUÍMICO SECO - PQS - 20 - B (4KG)</t>
  </si>
  <si>
    <t>EXTINTOR DE INCÊNDIO TIPO PÓ QUÍMICO SECO - PQS - B/C - 20B (12KG)</t>
  </si>
  <si>
    <t>Placas de sinalizações</t>
  </si>
  <si>
    <t>30X15CM - INDICAÇÃO DE UMA SAÍDA DE EMERGÊNCIA SUSPENSA COM INDICAÇÃO DO SENTIDO DE SAÍDA - (VERDE COM BONECO E SETA PARA CIMA)</t>
  </si>
  <si>
    <t>30X15CM - INDICAÇÃO DO SENTIDO (ESQUERDA OU DIREITA) DE UMA SAÍDA DE EMERGÊNCIA, ESPECIALMENTE, ESPECIALMENTE PARA SER FIXADO EM COLUNAS OU PAREDES - (VERDE COM BONECO E SETA PARA A DIREITA)</t>
  </si>
  <si>
    <t>30X15CM - INDICAÇÃO DO SENTIDO (ESQUERDA OU DIREITA) DE UMA SAÍDA DE EMERGÊNCIA, ESPECIALMENTE, ESPECIALMENTE PARA SER FIXADO EM COLUNAS OU PAREDES - (VERDE COM BONECO E SETA PARA A ESQUERDA)</t>
  </si>
  <si>
    <t>30X15CM - INDICAÇÃO DE UMA SAÍDA DE EMERGÊNCIA FIXADA SOBRE PORTAS - (VERDE ESCRITA SAÍDA)</t>
  </si>
  <si>
    <t>PERIGO - PLACAS PARA CENTRAL GLP</t>
  </si>
  <si>
    <t>INFLAMÁVEL - PLACAS PARA CENTRAL GLP</t>
  </si>
  <si>
    <t>PROIBIDO FUMAR - PLACAS PARA CENTRAL GLP</t>
  </si>
  <si>
    <t>BLOCOS AUTÔNOMOS LED - DURAÇÃO MÍNIMA DE 3 HORAS - INSTALAÇÃO NA PAREDE</t>
  </si>
  <si>
    <t>REVISÃO DAS CORDOALHAS E DOS CAPTORES DO SISTEMA DE SPDA EXISTENTE, COM A REALIZAÇÃO DOS REPAROS NECESSÁRIOS</t>
  </si>
  <si>
    <t>91677+88264+88247</t>
  </si>
  <si>
    <t>LAUDO DE RESISTIVIDADE DO SOLO E CONTINUIDADE ELÉTRICA</t>
  </si>
  <si>
    <t>Tubos e conexões</t>
  </si>
  <si>
    <t>REGISTRO DE GAVETA BRUTO, LATÃO, ROSCÁVEL, 2 1/2</t>
  </si>
  <si>
    <t>REGISTRO DE GAVETA BRUTO, LATÃO, ROSCÁVEL, 1/2</t>
  </si>
  <si>
    <t>VÁLVULA DE RETENÇÃO HORIZONTAL, DE BRONZE, ROSCÁVEL, 2 1/2" - FORNECIMENTO E INSTALAÇÃO</t>
  </si>
  <si>
    <t>VÁLVULA DE RETENÇÃO HORIZONTAL, DE BRONZE, ROSCÁVEL, 3/4" - FORNECIMENTO E INSTALAÇÃO</t>
  </si>
  <si>
    <t>CONTRAMARCO DE AÇO, FIXAÇÃO COM ARGAMASSA - FORNECIMENTO E INSTALAÇÃO - PORTA</t>
  </si>
  <si>
    <t>PORTA EM AÇO DE ABRIR TIPO VENEZIANA SEM GUARNIÇÃO, 87X210CM, FIXAÇÃO COM PARAFUSOS - FORNECIMENTO E INSTALAÇÃO</t>
  </si>
  <si>
    <t>Extintores</t>
  </si>
  <si>
    <t xml:space="preserve">Pinturas de piso para demarcação </t>
  </si>
  <si>
    <t>CONCRETO FCK = 15MPA, TRAÇO 1:3,4:3,5 (CIMENTO/ AREIA MÉDIA/ BRITA 1)  - PREPARO MECÂNICO COM BETONEIRA 600 L. AF_07/2016</t>
  </si>
  <si>
    <t>CP 026</t>
  </si>
  <si>
    <t>CP 027A</t>
  </si>
  <si>
    <t>CP 027</t>
  </si>
  <si>
    <t>CP 028</t>
  </si>
  <si>
    <t>Testes e ensaios</t>
  </si>
  <si>
    <t>TESTE ALARME - SETORES INDIVIDUALIZADOS E FUNCIONAMENTO DE TODOS ELEMENTOS</t>
  </si>
  <si>
    <t>TESTE FUNCIONAMENTO BOMBA - LIGAÇÃO DIRETA DA REDE, CIRCUITO, FUNCIONAMENTO AUTOMÁTICO</t>
  </si>
  <si>
    <t>TESTE HIDROSTÁTICO EM MANGUEIRA DE INCÊNDIO 1 1/2"</t>
  </si>
  <si>
    <t>AEROTEX EXTINTORES</t>
  </si>
  <si>
    <t>ALIN - ML</t>
  </si>
  <si>
    <t>CP 029A</t>
  </si>
  <si>
    <t>Esquadrias e serralheria</t>
  </si>
  <si>
    <t>11.0</t>
  </si>
  <si>
    <t>TESTE E LAUDO DE CONTINUIDADE ELÉTRICA DAS ARMADURAS DA QUADRA</t>
  </si>
  <si>
    <t>Caixa enterrada</t>
  </si>
  <si>
    <t>Tubulações e conexões</t>
  </si>
  <si>
    <t xml:space="preserve">TESTE E LAUDO DO TESTE DO SPDA </t>
  </si>
  <si>
    <t>CABO FLEXIVEL SINTENAX 16MM² 1KV - FORNECIMENTO E INSTALAÇÃO</t>
  </si>
  <si>
    <t>TESTE E LAUDO DO TESTE DE ATERRAMENTO DO SPDA</t>
  </si>
  <si>
    <t>ACIONADOR MANUAL ENDEREÇÁVEL AME 521 INTELBRAS</t>
  </si>
  <si>
    <t>ACIONADOR MANUAL ENDEREÇÁVEL AME 521 INTELBRAS - FORNECIMENTO E INSTALAÇÃO</t>
  </si>
  <si>
    <t>CJP Distribuições</t>
  </si>
  <si>
    <t>PROJETO EXECUTIVO SPDA CONTEMPLANDO MEDIÇÕES, TESTES, RELATÓRIOS TÉCNICOS E EQUIPOTENCIALIZAÇÃO</t>
  </si>
  <si>
    <t>CORDOALHA DE COBRE NU 35 MM², NÃO ENTERRADA, COM ISOLADOR - FORNECIMENTO E INSTALAÇÃO</t>
  </si>
  <si>
    <t>CP 030A</t>
  </si>
  <si>
    <t>CP 030B</t>
  </si>
  <si>
    <t>CP 030C</t>
  </si>
  <si>
    <t>CP 030D</t>
  </si>
  <si>
    <t>CP 030E</t>
  </si>
  <si>
    <t>CP 030F</t>
  </si>
  <si>
    <t>CP 030G</t>
  </si>
  <si>
    <t>CP 030</t>
  </si>
  <si>
    <t>PRESILHA PARA CABO DE COBRE SEÇÃO TRANSVERSAL 35 MM2</t>
  </si>
  <si>
    <t>PARAFUSO AUTO-ATARRAXANTE PANELA FENDA INOX 304 - 4.2 X 32</t>
  </si>
  <si>
    <t>CCP PARAFUSOS E FERRAMENTAS - VIRTUAL</t>
  </si>
  <si>
    <t>JOFEPAR</t>
  </si>
  <si>
    <t>VARIMAX</t>
  </si>
  <si>
    <t>CONECTOR PARAFUSO FENDIDO SPLIT-BOLT PARA CABO DE 35 MM²</t>
  </si>
  <si>
    <t>DIMENSIONAL</t>
  </si>
  <si>
    <t>SANTIL COMERCIAL ELÉTRICA</t>
  </si>
  <si>
    <t>TERMINAL À COMPRESSÃO EM COBRE ESTANHADO PARA CABO 35 MM²</t>
  </si>
  <si>
    <t>ANHANGUERA FERRAMENTAS</t>
  </si>
  <si>
    <t>VIEW TECH</t>
  </si>
  <si>
    <t>CONECTOR DE EMENDA DE BRONZE COM 4 PARAFUSOS PARA CABO DE 35 MM² A 50 MM²</t>
  </si>
  <si>
    <t>ELETROTRAFO</t>
  </si>
  <si>
    <t>CORDOALHA DE COBRE NU 50 MM², NÃO ENTERRADA, COM ISOLADOR - FORNECIMENTO E INSTALAÇÃO</t>
  </si>
  <si>
    <t>CP 031</t>
  </si>
  <si>
    <t>CONDULETE DE ALUMINIO TIPO C, PARA ELETRODUTO ROSCAVEL DE 1", COM TAMPA CEGA</t>
  </si>
  <si>
    <t>Loja Eletrica</t>
  </si>
  <si>
    <t>CAIXA DE EQUIPOTENCIALIZAÇÃO COM 9 TERMINAIS PARA USO INTERNO E EXTERNO - EM AÇO COM PINTURA EPÓXI</t>
  </si>
  <si>
    <t>CONTRAFOGOS SOLUÇÕES</t>
  </si>
  <si>
    <t>HASTE DE ATERRAMENTO 5/8" x 3,0 M PARA SPDA - FORNECIMENTO E INSTALAÇÃO</t>
  </si>
  <si>
    <t>CONECTOR MINI-GAR EM BRONZE ESTANHADO PARA CONEXÃO ENTRE HASTE DE ATERRAMENTO</t>
  </si>
  <si>
    <t>CASA &amp; VIDEO</t>
  </si>
  <si>
    <t>GIGAMAX CONDUTORES ELÉTRICOS</t>
  </si>
  <si>
    <t>ESCAVAÇÃO MANUAL DE VALA COM PROFUNDIDADE MENOR OU IGUAL A 1,30M</t>
  </si>
  <si>
    <t>CAIXA DE CONCRETO ARMADO PRE-MOLDADO, SEM FUNDO E COM TAMPA, DIMENSOES DE 0,60 X 0,60 X 0,50 M</t>
  </si>
  <si>
    <t>41629*</t>
  </si>
  <si>
    <t>INSTALAÇÃO DO SISTEMA DE SPDA NO GALPÃO DE OFICINAS</t>
  </si>
  <si>
    <t>REATERRO MANUAL DE VALAS COM COMPACTAÇÃO MECANIZADA</t>
  </si>
  <si>
    <t xml:space="preserve">ENGENHEIRO CIVIL DE OBRA PLENO COM ENCARGOS COMPLEMENTARES (2H/DIA) </t>
  </si>
  <si>
    <t>ENGENHEIRO ELETRICISTA COM ENCARGOS COMPLEMENTARES (2H/DIA)</t>
  </si>
  <si>
    <t>COMBATE A INCÊNDIO - GALPÃO E OFICINAS</t>
  </si>
  <si>
    <t>TESTE DE FUNCIONAMENTO DO SISTEMA DE BOMBEAMENTO E ESTANQUEIDADE DA TUBULAÇÃO</t>
  </si>
  <si>
    <t>INSTALAÇÕES ELÉTRICAS</t>
  </si>
  <si>
    <t>QUADRO DE DISTRIBUIÇÃO DE ENERGIA EM CHAPA DE AÇO GALVANIZADO, DE EMBUTIR, COM BARRAMENTO TRIFÁSICO PINTADO, PARA 40 DISJUNTORES DIN 100 A - FORNECIMENTO E INSTALAÇÃO</t>
  </si>
  <si>
    <t>Alimentação</t>
  </si>
  <si>
    <t>COMISSIONAMENTO DO SISTEMA DE DETECÇÃO E ALARME DE INCÊNDIO</t>
  </si>
  <si>
    <t>CP 031A</t>
  </si>
  <si>
    <t>DETECTOR DE FUMAÇA LINEAR 20 A 40 METROS DFL 3101 - INTELBRAS</t>
  </si>
  <si>
    <t>OLIVANTEL</t>
  </si>
  <si>
    <t>ENERGIA COMPLETA</t>
  </si>
  <si>
    <t>NETALARMES</t>
  </si>
  <si>
    <t>CP 032A</t>
  </si>
  <si>
    <t>CP 032</t>
  </si>
  <si>
    <t>DETECTOR DE FUMAÇA ENDEREÇÁVEL INTELBRAS DFE 520</t>
  </si>
  <si>
    <t>Alarme de incêndio e detecção</t>
  </si>
  <si>
    <t>CP 033A</t>
  </si>
  <si>
    <t>CP 033</t>
  </si>
  <si>
    <t>ELETRODUTO GALVANIZADO LEVE 3/4"</t>
  </si>
  <si>
    <t>COPAFER</t>
  </si>
  <si>
    <t>BARRA</t>
  </si>
  <si>
    <t xml:space="preserve">CONDULETE DE ALUMINIO TIPO X, PARA ELETRODUTO ROSCAVEL DE 3/4", COM TAMPA CEGA, COM CONECTORES E TAMPÕES  </t>
  </si>
  <si>
    <t>SERVENTE COM ENCARGOS COMPLEMENTARES (2H/DIA)</t>
  </si>
  <si>
    <t xml:space="preserve">PROJETO DE PROTEÇÃO COLETIVA </t>
  </si>
  <si>
    <t>PROJETO EXECUTIVO ELÉTRICO DO GALPÃO DE OFICINAS E ADEQUAÇÃO DA SUBESTAÇÃO</t>
  </si>
  <si>
    <t>PROJETO BÁSICO E EXECUTIVO PREVENÇÃO E COMBATE A INCÊNDIO APROVADO NO CBMDF - GALPÃO</t>
  </si>
  <si>
    <t>PROJETO BÁSICO E EXECUTIVO PREVENÇÃO E COMBATE A INCÊNDIO APROVADO NO CBMDF - EDIFICAÇÃO EXISTENTE</t>
  </si>
  <si>
    <t>90778*</t>
  </si>
  <si>
    <t>ALVENARIA DE VEDAÇÃO DE BLOCOS VAZADOS DE CONCRETO DE 9X19X39 CM (ESPESSURA 9 CM) E ARGAMASSA DE ASSENTAMENTO COM PREPARO MANUAL</t>
  </si>
  <si>
    <t>ALVENARIA DE VEDAÇÃO DE BLOCOS CERÂMICOS FURADOS NA VERTICAL DE 9X19X39 CM (ESPESSURA 9 CM) E ARGAMASSA DE ASSENTAMENTO COM PREPARO MANUAL</t>
  </si>
  <si>
    <t>GUIA (MEIO-FIO) E SARJETA CONJUGADOS DE CONCRETO, MOLDADA IN LOCO EM TRECHO CURVO COM EXTRUSORA, 45 CM BASE.</t>
  </si>
  <si>
    <t>Pavimento de Concreto Asfáltico</t>
  </si>
  <si>
    <t>Pavimento intertravado com bloco sextavado</t>
  </si>
  <si>
    <t>Pavimento de Concreto Armado</t>
  </si>
  <si>
    <t xml:space="preserve">EXECUÇÃO E COMPACTAÇÃO DE BASE E OU SUB BASE PARA PAVIMENTAÇÃO DE SOLO (PREDOMINANTEMENTE ARENOSO) COM CIMENTO (TEOR DE 6%) - EXCLUSIVE SOLO, ESCAVAÇÃO, CARGA E TRANSPORTE. </t>
  </si>
  <si>
    <t>APLICAÇÃO DE LONA PLÁSTICA PARA EXECUÇÃO DE PAVIMENTOS DE CONCRETO</t>
  </si>
  <si>
    <t>EXECUÇÃO DE PAVIMENTO DE CONCRETO ARMADO (PCA), FCK = 40 MPA, CAMADA COM ESPESSURA DE 15,0 CM.</t>
  </si>
  <si>
    <t xml:space="preserve">Telhas e rufos </t>
  </si>
  <si>
    <t>COBERTURA - OFICINAS</t>
  </si>
  <si>
    <t>12.0</t>
  </si>
  <si>
    <t>RETIRADA E REMOÇÃO DA IMPERMEABILIZAÇÃO APLICADA SOBRE O RUFO METÁLICO E RETIRADA DO RUFO NA JUNÇÃO DA COBERTURA COM A EMPENA DE ALVENARIA</t>
  </si>
  <si>
    <t xml:space="preserve">TELHADISTA COM ENCARGOS COMPLEMENTARES </t>
  </si>
  <si>
    <t>ADEQUAÇÕES NECESSÁRIAS NA ESTRUTURA DO TELHADO PARA RECEBIMENTO DAS NOVAS TELHAS</t>
  </si>
  <si>
    <t>CP 034</t>
  </si>
  <si>
    <t>CP 035</t>
  </si>
  <si>
    <t>CP 036</t>
  </si>
  <si>
    <t>CP 037A</t>
  </si>
  <si>
    <t>CP 037</t>
  </si>
  <si>
    <t>HASTE RETA PARA GANCHO DE FERRO GALVANIZADO, COM ROSCA 1/4" X 30 CM PARA FIXAÇÃO DE TELHA METÁLICA, INCLUI PORCA E ARRUELAS DE VEDAÇÃO</t>
  </si>
  <si>
    <t>TELHADISTA COM ENCARGOS COMPLEMENTARES</t>
  </si>
  <si>
    <t>GUINCHO ELÉTRICO DE COLUNA, CAPACIDADE DE 400 KG, COM MOTO FREIO, MOTOR TRIFÁSICO DE 1,25 CV - CHP DIURNO</t>
  </si>
  <si>
    <t>TELHA TÉRMICA SANDUÍCHE ISOTELHA TRAPEZOIDAL COM AÇO SUPERIOR BRANCO E AÇO INFERIOR TIPO FORRO BRANCO NÚCLEO EM PIR COM ESPESSURA DE 30MM LARGURA ÚTIL DE 01 METRO</t>
  </si>
  <si>
    <t>https://loja.kingspan-isoeste.com.br/telha-termica.html</t>
  </si>
  <si>
    <t>CP 038A</t>
  </si>
  <si>
    <t>CP 038</t>
  </si>
  <si>
    <t>https://loja.kingspan-isoeste.com.br/telha-termica-sanduiche-trapezoidal-aco-superior-e-filme-aluminio-nucleo-em-pir-com-espessura-de-30mm-largura-util-de-01-metro.html</t>
  </si>
  <si>
    <t>TELHA TÉRMICA SANDUÍCHE ISOTELHA TRAPEZOIDAL COM REVESTIMENTO SUPERIOR EM AÇO E REVESTIMENTO INFERIOR EM FILME ALUMÍNIO COM NÚCLEO EM PIR COM 30 MM DE ESPESSURA E LARGURA ÚTIL DE 01 METRO</t>
  </si>
  <si>
    <t>CP 039A</t>
  </si>
  <si>
    <t>CP 039</t>
  </si>
  <si>
    <t>CUMEEIRA PARA TELHA METÁLICA TP40- GALVALUME</t>
  </si>
  <si>
    <t>https://loja.kingspan-isoeste.com.br/ec-cumeeira-trapezoidal-tp40-std-galvalume-0-43mm.html</t>
  </si>
  <si>
    <t>CONJUNTO ARRUELAS DE VEDAÇÃO 5/16"</t>
  </si>
  <si>
    <t>PARAFUSO ZINCADO ROSCA SOBERBA, CABEÇA SEXTAVADA 5/16" X 250 MM, PARA FIXAÇÃO DE TELHA METÁLICA</t>
  </si>
  <si>
    <t>ESTRUTURA - OFICINAS/GALPÃO</t>
  </si>
  <si>
    <t>ESQUADRIAS</t>
  </si>
  <si>
    <t>PAVIMENTAÇÃO E PASSEIO</t>
  </si>
  <si>
    <t>COBOGÓ E REVESTIMENTO DO GALPÃO E DAS OFICINAS</t>
  </si>
  <si>
    <t>INSTALAÇÕES HIDROSSANITÁRIAS E ACESSÓRIOS</t>
  </si>
  <si>
    <t>VIGA METÁLICA EM PERFIL LAMINADO OU SOLDADO EM AÇO ESTRUTURAL, COM CONEXÕES PARAFUSADAS, INCLUSOS MÃO DE OBRA, TRANSPORTE E IÇAMENTO UTILIZANDO GUINDASTE - FORNECIMENTO E INSTALAÇÃO</t>
  </si>
  <si>
    <t>PORTAO DE CORRER EM CHAPA TIPO PAINEL LAMBRIL QUADRADO, COM PORTA SOCIAL COMPLETA INCLUIDA, COM REQUADRO, ACABAMENTO NATURAL, COM TRILHOS E ROLDANAS - OFICINAS</t>
  </si>
  <si>
    <t>CP 040</t>
  </si>
  <si>
    <t>CP 041</t>
  </si>
  <si>
    <t>CP 042</t>
  </si>
  <si>
    <t>PF2 - PORTAO DE CORRER EM CHAPA TIPO PAINEL LAMBRIL QUADRADO, COM REQUADRO, ACABAMENTO NATURAL, COM TRILHOS E ROLDANAS - 435x400 CM</t>
  </si>
  <si>
    <t>PF1 - PORTAO DE CORRER EM CHAPA TIPO PAINEL LAMBRIL QUADRADO, COM REQUADRO, ACABAMENTO NATURAL, COM TRILHOS E ROLDANAS - 610x400 CM</t>
  </si>
  <si>
    <t>CP 043</t>
  </si>
  <si>
    <t>CP 044</t>
  </si>
  <si>
    <t>CP 045</t>
  </si>
  <si>
    <t>PF4 - PORTAO DE CORRER EM CHAPA TIPO PAINEL LAMBRIL QUADRADO, COM REQUADRO, ACABAMENTO NATURAL, COM TRILHOS E ROLDANAS - 500x350 CM</t>
  </si>
  <si>
    <t>CP 046</t>
  </si>
  <si>
    <t>PF3 - PORTAO DE CORRER EM CHAPA TIPO PAINEL GRADIL QUADRADO, COM REQUADRO, ACABAMENTO NATURAL, COM TRILHOS E ROLDANAS - 240X250 CM</t>
  </si>
  <si>
    <t>PF5 - PORTAO DE CORRER EM CHAPA TIPO PAINEL LAMBRIL QUADRADO, COM REQUADRO, ACABAMENTO NATURAL, COM TRILHOS E ROLDANAS -  300x600CM</t>
  </si>
  <si>
    <t>PF6 - PORTAO DE CORRER EM CHAPA TIPO PAINEL LAMBRIL QUADRADO, COM REQUADRO, ACABAMENTO NATURAL, COM TRILHOS E ROLDANAS -  280x360CM</t>
  </si>
  <si>
    <t>CP 047</t>
  </si>
  <si>
    <t>PF7 - PORTAO DE CORRER DE ACESSO A UNIDADE FEITA CONFORME PADRÃO EXISTENTE, COM REQUADRO, ACABAMENTO NATURAL, COM TRILHOS ROLDANAS E MOTOR -  600x205CM</t>
  </si>
  <si>
    <t>CP 048</t>
  </si>
  <si>
    <t>CP 046A</t>
  </si>
  <si>
    <t>TUDOFORTE.COM.BR</t>
  </si>
  <si>
    <t>KIT MOTOR PORTÃO ROSSI DZ4 SK 800KG 1/3 DESLIZANTE AUTOMÁTICO DE CORRER ELETRÔNICO COM ABERTURA RÁPIDA + CREMALHEIRA DE 6M</t>
  </si>
  <si>
    <t>UPPERSEG</t>
  </si>
  <si>
    <t>CALHA EM CHAPA DE AÇO GALVANIZADO Nº 24, DESENVOLVIMENTO DE 100 CM, INCLUSIVO TRANSPORTE VERTICAL</t>
  </si>
  <si>
    <t>CALHA EM CHAPA DE AÇO GALVANIZADO Nº 24, DESENVOLVIMENTO CONFORME PROJETO, INCLUSIVO TRANSPORTE VERTICAL</t>
  </si>
  <si>
    <t>CP 049</t>
  </si>
  <si>
    <t>CP 002A</t>
  </si>
  <si>
    <t>TELA PLÁSTICA GALINHEIRO VIVEIRO PINTEIRO Nº 5 1,5M X 50M</t>
  </si>
  <si>
    <t>LOJA DO MECANICO</t>
  </si>
  <si>
    <t>CP 050</t>
  </si>
  <si>
    <t>PF8 - PORTAO DE CORRER DE ACESSO A UNIDADE FEITA CONFORME PADRÃO EXISTENTE, COM REQUADRO, ACABAMENTO NATURAL, COM TRILHOS ROLDANAS E MOTOR -  350x300CM</t>
  </si>
  <si>
    <t>PF9 - PORTAO DE CORRER DE ACESSO A UNIDADE FEITA CONFORME PADRÃO EXISTENTE, COM REQUADRO, ACABAMENTO NATURAL, COM TRILHOS ROLDANAS E MOTOR -  400x300CM</t>
  </si>
  <si>
    <t>EXECUÇÃO DE PAVIMENTO COM APLICAÇÃO DE CONCRETO ASFÁLTICO, CAMADA DE ROLAMENTO - 10 CM</t>
  </si>
  <si>
    <t>EXECUÇÃO DE PAVIMENTO COM APLICAÇÃO DE CONCRETO ASFÁLTICO, CAMADA DE  BINDER - 7CM</t>
  </si>
  <si>
    <t>CP 014N</t>
  </si>
  <si>
    <t>https://www.poloeletrica.com.br/chave-fusivel-base-c-15kv-100a</t>
  </si>
  <si>
    <t>CP 014O</t>
  </si>
  <si>
    <t>CP 014P</t>
  </si>
  <si>
    <t>BASE UNIPOLAR PARA FUSIVEL NH1, CORRENTE NOMINAL DE 250 A</t>
  </si>
  <si>
    <t>https://www.lojasetta.com/base-fusivel-nh01-250a-bnh01-250-weg/177001/produto/</t>
  </si>
  <si>
    <t>H3L.COM</t>
  </si>
  <si>
    <t>CAIXA TIPO B PARA ABRIGO DE DISJUNTOR, COM BARRAMENTO TRILHO DIN, COM ISOLADORES</t>
  </si>
  <si>
    <t>EXTRA</t>
  </si>
  <si>
    <t>SINAPI 07.2022</t>
  </si>
  <si>
    <t>CP 051</t>
  </si>
  <si>
    <t>ELETRODUTO EM ACO GALVANIZADO ELETROLITICO, LEVE, DIAMETRO 3/4", PAREDE DE 0,90</t>
  </si>
  <si>
    <t>ELETRODUTO EM ACO GALVANIZADO ELETROLITICO, LEVE, DIAMETRO 3/4", PAREDE DE 0,90 - FORNECIMENTO E INSTALAÇÃO</t>
  </si>
  <si>
    <t>FIXAÇÃO DE TUBOS HORIZONTAIS COM DIÂMETROS MENORES OU IGUAIS A 40 MM</t>
  </si>
  <si>
    <t>SINAPI 07.2021</t>
  </si>
  <si>
    <t>ACO CA-50, 6,3 MM, DOBRADO E CORTADO</t>
  </si>
  <si>
    <t>TELA ANTIPOMBO - FORNECIMENTO E INSTALAÇÃO</t>
  </si>
  <si>
    <t>TRANSFERÊNCIA DO MEZANINO DO GALPÃO DO SIA PARA SAMAMBAIA</t>
  </si>
  <si>
    <t>REMOÇÃO DO MEZANINO DO SIA E TRANSPORTE</t>
  </si>
  <si>
    <t>Instalação do mezanino no novo layout</t>
  </si>
  <si>
    <t>Remoção do mezanino do galpão do SIA e transporte</t>
  </si>
  <si>
    <t>M2xKM</t>
  </si>
  <si>
    <t>TRANSPORTE DE PERFIS METÁLICOS</t>
  </si>
  <si>
    <t>CP 052</t>
  </si>
  <si>
    <t>INSTALAÇÃO DO MEZANINO NO NOVO GALPÃO</t>
  </si>
</sst>
</file>

<file path=xl/styles.xml><?xml version="1.0" encoding="utf-8"?>
<styleSheet xmlns="http://schemas.openxmlformats.org/spreadsheetml/2006/main">
  <numFmts count="3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_(* #,##0.00_);_(* \(#,##0.00\);_(* \-??_);_(@_)"/>
    <numFmt numFmtId="171" formatCode="_(&quot;R$ &quot;* #,##0.00_);_(&quot;R$ &quot;* \(#,##0.00\);_(&quot;R$ &quot;* \-??_);_(@_)"/>
    <numFmt numFmtId="172" formatCode="&quot;R$ &quot;#,##0.00"/>
    <numFmt numFmtId="173" formatCode="#,##0.00_);[Red]\(#,##0.00\)"/>
    <numFmt numFmtId="174" formatCode="_-&quot;R$ &quot;* #,##0.00_-;&quot;-R$ &quot;* #,##0.00_-;_-&quot;R$ &quot;* \-??_-;_-@_-"/>
    <numFmt numFmtId="175" formatCode="_-* #,##0.00_-;\-* #,##0.00_-;_-* \-??_-;_-@_-"/>
    <numFmt numFmtId="176" formatCode="0.00000"/>
    <numFmt numFmtId="177" formatCode="0.0000"/>
    <numFmt numFmtId="178" formatCode="0.000"/>
    <numFmt numFmtId="179" formatCode="0.0"/>
    <numFmt numFmtId="180" formatCode="0.000000"/>
    <numFmt numFmtId="181" formatCode="0.0000000"/>
    <numFmt numFmtId="182" formatCode="&quot;Sim&quot;;&quot;Sim&quot;;&quot;Não&quot;"/>
    <numFmt numFmtId="183" formatCode="&quot;Verdadeiro&quot;;&quot;Verdadeiro&quot;;&quot;Falso&quot;"/>
    <numFmt numFmtId="184" formatCode="&quot;Ativar&quot;;&quot;Ativar&quot;;&quot;Desativar&quot;"/>
    <numFmt numFmtId="185" formatCode="[$€-2]\ #,##0.00_);[Red]\([$€-2]\ #,##0.00\)"/>
    <numFmt numFmtId="186" formatCode="[$-416]dddd\,\ d&quot; de &quot;mmmm&quot; de &quot;yyyy"/>
    <numFmt numFmtId="187" formatCode="&quot;R$&quot;\ #,##0.00"/>
    <numFmt numFmtId="188" formatCode="0.00000000"/>
    <numFmt numFmtId="189" formatCode="0.000000000"/>
    <numFmt numFmtId="190" formatCode="&quot;Ativado&quot;;&quot;Ativado&quot;;&quot;Desativado&quot;"/>
    <numFmt numFmtId="191" formatCode="#,##0.00;#,##0.00"/>
    <numFmt numFmtId="192" formatCode="_-* #,##0.0000_-;\-* #,##0.0000_-;_-* &quot;-&quot;????_-;_-@_-"/>
  </numFmts>
  <fonts count="50">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indexed="8"/>
      <name val="Arial"/>
      <family val="2"/>
    </font>
    <font>
      <b/>
      <sz val="12"/>
      <name val="Arial"/>
      <family val="2"/>
    </font>
    <font>
      <b/>
      <sz val="11"/>
      <name val="Arial"/>
      <family val="2"/>
    </font>
    <font>
      <sz val="11"/>
      <name val="Arial"/>
      <family val="2"/>
    </font>
    <font>
      <b/>
      <sz val="10"/>
      <name val="Arial"/>
      <family val="2"/>
    </font>
    <font>
      <b/>
      <sz val="20"/>
      <name val="Arial"/>
      <family val="2"/>
    </font>
    <font>
      <sz val="8"/>
      <name val="Arial"/>
      <family val="2"/>
    </font>
    <font>
      <u val="single"/>
      <sz val="10"/>
      <color indexed="12"/>
      <name val="Arial"/>
      <family val="2"/>
    </font>
    <font>
      <u val="single"/>
      <sz val="10"/>
      <color indexed="2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5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1"/>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theme="0" tint="-0.3499799966812134"/>
        <bgColor indexed="64"/>
      </patternFill>
    </fill>
    <fill>
      <patternFill patternType="solid">
        <fgColor theme="0" tint="-0.1499900072813034"/>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rgb="FF000000"/>
      </left>
      <right style="hair">
        <color rgb="FF000000"/>
      </right>
      <top style="hair">
        <color rgb="FF000000"/>
      </top>
      <bottom style="hair">
        <color rgb="FF000000"/>
      </bottom>
    </border>
    <border>
      <left style="thin"/>
      <right style="thin"/>
      <top style="thin"/>
      <bottom style="thin"/>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37" borderId="0" applyNumberFormat="0" applyBorder="0" applyAlignment="0" applyProtection="0"/>
    <xf numFmtId="0" fontId="3" fillId="3" borderId="0" applyNumberFormat="0" applyBorder="0" applyAlignment="0" applyProtection="0"/>
    <xf numFmtId="0" fontId="33" fillId="38" borderId="0" applyNumberFormat="0" applyBorder="0" applyAlignment="0" applyProtection="0"/>
    <xf numFmtId="0" fontId="4" fillId="39" borderId="1" applyNumberFormat="0" applyAlignment="0" applyProtection="0"/>
    <xf numFmtId="0" fontId="34" fillId="40" borderId="2" applyNumberFormat="0" applyAlignment="0" applyProtection="0"/>
    <xf numFmtId="0" fontId="35" fillId="41" borderId="3" applyNumberFormat="0" applyAlignment="0" applyProtection="0"/>
    <xf numFmtId="0" fontId="36" fillId="0" borderId="4" applyNumberFormat="0" applyFill="0" applyAlignment="0" applyProtection="0"/>
    <xf numFmtId="0" fontId="5" fillId="42" borderId="5" applyNumberFormat="0" applyAlignment="0" applyProtection="0"/>
    <xf numFmtId="170" fontId="0" fillId="0" borderId="0" applyFill="0" applyBorder="0" applyAlignment="0" applyProtection="0"/>
    <xf numFmtId="171" fontId="0" fillId="0" borderId="0" applyFill="0" applyBorder="0" applyAlignment="0" applyProtection="0"/>
    <xf numFmtId="0" fontId="32" fillId="43" borderId="0" applyNumberFormat="0" applyBorder="0" applyAlignment="0" applyProtection="0"/>
    <xf numFmtId="0" fontId="32" fillId="44"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48" borderId="0" applyNumberFormat="0" applyBorder="0" applyAlignment="0" applyProtection="0"/>
    <xf numFmtId="0" fontId="37" fillId="49" borderId="2"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6" applyNumberFormat="0" applyFill="0" applyAlignment="0" applyProtection="0"/>
    <xf numFmtId="0" fontId="9" fillId="0" borderId="7" applyNumberFormat="0" applyFill="0" applyAlignment="0" applyProtection="0"/>
    <xf numFmtId="0" fontId="10" fillId="0" borderId="8" applyNumberFormat="0" applyFill="0" applyAlignment="0" applyProtection="0"/>
    <xf numFmtId="0" fontId="10"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11" fillId="7" borderId="1" applyNumberFormat="0" applyAlignment="0" applyProtection="0"/>
    <xf numFmtId="0" fontId="12" fillId="0" borderId="9" applyNumberFormat="0" applyFill="0" applyAlignment="0" applyProtection="0"/>
    <xf numFmtId="174" fontId="0" fillId="0" borderId="0" applyFill="0" applyBorder="0" applyAlignment="0" applyProtection="0"/>
    <xf numFmtId="42" fontId="0" fillId="0" borderId="0" applyFill="0" applyBorder="0" applyAlignment="0" applyProtection="0"/>
    <xf numFmtId="174" fontId="0" fillId="0" borderId="0" applyFill="0" applyBorder="0" applyAlignment="0" applyProtection="0"/>
    <xf numFmtId="0" fontId="13" fillId="50" borderId="0" applyNumberFormat="0" applyBorder="0" applyAlignment="0" applyProtection="0"/>
    <xf numFmtId="0" fontId="40" fillId="51" borderId="0" applyNumberFormat="0" applyBorder="0" applyAlignment="0" applyProtection="0"/>
    <xf numFmtId="0" fontId="0" fillId="0" borderId="0">
      <alignment/>
      <protection/>
    </xf>
    <xf numFmtId="0" fontId="0" fillId="0" borderId="0">
      <alignment/>
      <protection/>
    </xf>
    <xf numFmtId="0" fontId="0" fillId="52" borderId="10" applyNumberFormat="0" applyFont="0" applyAlignment="0" applyProtection="0"/>
    <xf numFmtId="0" fontId="0" fillId="53" borderId="11" applyNumberFormat="0" applyAlignment="0" applyProtection="0"/>
    <xf numFmtId="0" fontId="14" fillId="39" borderId="12" applyNumberFormat="0" applyAlignment="0" applyProtection="0"/>
    <xf numFmtId="9" fontId="17" fillId="0" borderId="0">
      <alignment/>
      <protection/>
    </xf>
    <xf numFmtId="9" fontId="0" fillId="0" borderId="0" applyFill="0" applyBorder="0" applyAlignment="0" applyProtection="0"/>
    <xf numFmtId="0" fontId="41" fillId="54" borderId="0" applyNumberFormat="0" applyBorder="0" applyAlignment="0" applyProtection="0"/>
    <xf numFmtId="0" fontId="42" fillId="40" borderId="13" applyNumberFormat="0" applyAlignment="0" applyProtection="0"/>
    <xf numFmtId="41" fontId="0" fillId="0" borderId="0" applyFill="0" applyBorder="0" applyAlignment="0" applyProtection="0"/>
    <xf numFmtId="170" fontId="0" fillId="0" borderId="0" applyFill="0" applyBorder="0" applyAlignment="0" applyProtection="0"/>
    <xf numFmtId="170" fontId="0" fillId="0" borderId="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15" fillId="0" borderId="0" applyNumberFormat="0" applyFill="0" applyBorder="0" applyAlignment="0" applyProtection="0"/>
    <xf numFmtId="0" fontId="45" fillId="0" borderId="0" applyNumberFormat="0" applyFill="0" applyBorder="0" applyAlignment="0" applyProtection="0"/>
    <xf numFmtId="0" fontId="46" fillId="0" borderId="14" applyNumberFormat="0" applyFill="0" applyAlignment="0" applyProtection="0"/>
    <xf numFmtId="0" fontId="47" fillId="0" borderId="15" applyNumberFormat="0" applyFill="0" applyAlignment="0" applyProtection="0"/>
    <xf numFmtId="0" fontId="48" fillId="0" borderId="16" applyNumberFormat="0" applyFill="0" applyAlignment="0" applyProtection="0"/>
    <xf numFmtId="0" fontId="48" fillId="0" borderId="0" applyNumberFormat="0" applyFill="0" applyBorder="0" applyAlignment="0" applyProtection="0"/>
    <xf numFmtId="0" fontId="49" fillId="0" borderId="17" applyNumberFormat="0" applyFill="0" applyAlignment="0" applyProtection="0"/>
    <xf numFmtId="43" fontId="0" fillId="0" borderId="0" applyFill="0" applyBorder="0" applyAlignment="0" applyProtection="0"/>
    <xf numFmtId="0" fontId="16" fillId="0" borderId="0" applyNumberFormat="0" applyFill="0" applyBorder="0" applyAlignment="0" applyProtection="0"/>
  </cellStyleXfs>
  <cellXfs count="109">
    <xf numFmtId="0" fontId="0" fillId="0" borderId="0" xfId="0" applyAlignment="1">
      <alignment/>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lignment vertical="center" wrapText="1"/>
    </xf>
    <xf numFmtId="2" fontId="20" fillId="0" borderId="0" xfId="0" applyNumberFormat="1" applyFont="1" applyAlignment="1">
      <alignment horizontal="center" vertical="center"/>
    </xf>
    <xf numFmtId="172" fontId="20" fillId="0" borderId="0" xfId="0" applyNumberFormat="1" applyFont="1" applyAlignment="1">
      <alignment horizontal="right" vertical="center"/>
    </xf>
    <xf numFmtId="0" fontId="20" fillId="0" borderId="0" xfId="0" applyFont="1" applyAlignment="1">
      <alignment vertical="center"/>
    </xf>
    <xf numFmtId="0" fontId="20" fillId="0" borderId="0" xfId="0" applyFont="1" applyFill="1" applyAlignment="1">
      <alignment vertical="center" wrapText="1"/>
    </xf>
    <xf numFmtId="0" fontId="20" fillId="0" borderId="0" xfId="0" applyFont="1" applyFill="1" applyAlignment="1">
      <alignment horizontal="left" vertical="center" wrapText="1"/>
    </xf>
    <xf numFmtId="0" fontId="20" fillId="0" borderId="0" xfId="0" applyFont="1" applyFill="1" applyAlignment="1">
      <alignment horizontal="center" vertical="center" wrapText="1"/>
    </xf>
    <xf numFmtId="2" fontId="20" fillId="0" borderId="0" xfId="0" applyNumberFormat="1" applyFont="1" applyFill="1" applyAlignment="1">
      <alignment horizontal="center" vertical="center" wrapText="1"/>
    </xf>
    <xf numFmtId="172" fontId="20" fillId="0" borderId="0" xfId="0" applyNumberFormat="1" applyFont="1" applyFill="1" applyAlignment="1">
      <alignment horizontal="center" vertical="center" wrapText="1"/>
    </xf>
    <xf numFmtId="0" fontId="0" fillId="0" borderId="0" xfId="0" applyFont="1" applyFill="1" applyAlignment="1">
      <alignment wrapText="1"/>
    </xf>
    <xf numFmtId="0" fontId="0" fillId="0" borderId="0" xfId="0" applyFont="1" applyFill="1" applyAlignment="1">
      <alignment horizontal="center" wrapText="1"/>
    </xf>
    <xf numFmtId="2" fontId="0" fillId="0" borderId="0" xfId="0" applyNumberFormat="1" applyFont="1" applyFill="1" applyAlignment="1">
      <alignment horizontal="center" wrapText="1"/>
    </xf>
    <xf numFmtId="0" fontId="22" fillId="0" borderId="0" xfId="0" applyFont="1" applyAlignment="1">
      <alignment vertical="center"/>
    </xf>
    <xf numFmtId="0" fontId="0" fillId="0" borderId="18" xfId="0" applyFill="1" applyBorder="1" applyAlignment="1">
      <alignment vertical="center" wrapText="1"/>
    </xf>
    <xf numFmtId="0" fontId="0" fillId="0" borderId="18" xfId="0" applyBorder="1" applyAlignment="1">
      <alignment vertical="center" wrapText="1"/>
    </xf>
    <xf numFmtId="0" fontId="0" fillId="0" borderId="18" xfId="0" applyBorder="1" applyAlignment="1">
      <alignment horizontal="center" vertical="center" wrapText="1"/>
    </xf>
    <xf numFmtId="2" fontId="0" fillId="0" borderId="18" xfId="0" applyNumberFormat="1" applyBorder="1" applyAlignment="1">
      <alignment horizontal="center" vertical="center" wrapText="1"/>
    </xf>
    <xf numFmtId="0" fontId="21" fillId="0" borderId="18" xfId="0" applyFont="1" applyBorder="1" applyAlignment="1">
      <alignment vertical="center" wrapText="1"/>
    </xf>
    <xf numFmtId="0" fontId="21" fillId="0" borderId="18" xfId="0" applyFont="1" applyBorder="1" applyAlignment="1">
      <alignment horizontal="center" vertical="center" wrapText="1"/>
    </xf>
    <xf numFmtId="0" fontId="0" fillId="0" borderId="18" xfId="0" applyBorder="1" applyAlignment="1">
      <alignment horizontal="left" vertical="center" wrapText="1"/>
    </xf>
    <xf numFmtId="177" fontId="0" fillId="0" borderId="18" xfId="0" applyNumberFormat="1" applyBorder="1" applyAlignment="1">
      <alignment horizontal="center" vertical="center" wrapText="1"/>
    </xf>
    <xf numFmtId="172" fontId="20" fillId="0" borderId="0" xfId="0" applyNumberFormat="1" applyFont="1" applyAlignment="1">
      <alignment horizontal="center" vertical="center" wrapText="1"/>
    </xf>
    <xf numFmtId="0" fontId="0" fillId="0" borderId="0" xfId="0" applyAlignment="1">
      <alignment wrapText="1"/>
    </xf>
    <xf numFmtId="0" fontId="0" fillId="0" borderId="0" xfId="0" applyAlignment="1">
      <alignment horizontal="center" wrapText="1"/>
    </xf>
    <xf numFmtId="2" fontId="0" fillId="0" borderId="0" xfId="0" applyNumberFormat="1" applyAlignment="1">
      <alignment horizontal="center" wrapText="1"/>
    </xf>
    <xf numFmtId="174" fontId="0" fillId="0" borderId="0" xfId="83" applyFill="1" applyBorder="1" applyAlignment="1">
      <alignment horizontal="center" vertical="center" wrapText="1"/>
    </xf>
    <xf numFmtId="49" fontId="0" fillId="0" borderId="18" xfId="0" applyNumberFormat="1" applyBorder="1" applyAlignment="1">
      <alignment horizontal="left" vertical="center" wrapText="1"/>
    </xf>
    <xf numFmtId="0" fontId="0" fillId="0" borderId="0" xfId="0" applyFill="1" applyBorder="1" applyAlignment="1">
      <alignment vertical="center" wrapText="1"/>
    </xf>
    <xf numFmtId="0" fontId="0" fillId="0" borderId="18" xfId="0" applyFill="1" applyBorder="1" applyAlignment="1">
      <alignment horizontal="center" vertical="center" wrapText="1"/>
    </xf>
    <xf numFmtId="0" fontId="19" fillId="55" borderId="19" xfId="0" applyFont="1" applyFill="1" applyBorder="1" applyAlignment="1">
      <alignment vertical="center"/>
    </xf>
    <xf numFmtId="173" fontId="18" fillId="55" borderId="19" xfId="0" applyNumberFormat="1" applyFont="1" applyFill="1" applyBorder="1" applyAlignment="1" applyProtection="1">
      <alignment vertical="center"/>
      <protection hidden="1"/>
    </xf>
    <xf numFmtId="174" fontId="18" fillId="55" borderId="19" xfId="83" applyFont="1" applyFill="1" applyBorder="1" applyAlignment="1">
      <alignment horizontal="right" vertical="center"/>
    </xf>
    <xf numFmtId="0" fontId="19" fillId="56" borderId="19" xfId="0" applyFont="1" applyFill="1" applyBorder="1" applyAlignment="1">
      <alignment vertical="center"/>
    </xf>
    <xf numFmtId="173" fontId="18" fillId="56" borderId="19" xfId="0" applyNumberFormat="1" applyFont="1" applyFill="1" applyBorder="1" applyAlignment="1" applyProtection="1">
      <alignment vertical="center" wrapText="1"/>
      <protection hidden="1"/>
    </xf>
    <xf numFmtId="174" fontId="18" fillId="56" borderId="19" xfId="83" applyFont="1" applyFill="1" applyBorder="1" applyAlignment="1">
      <alignment horizontal="right" vertical="center"/>
    </xf>
    <xf numFmtId="0" fontId="20" fillId="0" borderId="19" xfId="0" applyFont="1" applyBorder="1" applyAlignment="1">
      <alignment horizontal="left" vertical="center" wrapText="1"/>
    </xf>
    <xf numFmtId="0" fontId="20" fillId="0" borderId="19" xfId="0" applyFont="1" applyBorder="1" applyAlignment="1">
      <alignment horizontal="center" vertical="center" wrapText="1"/>
    </xf>
    <xf numFmtId="0" fontId="20" fillId="0" borderId="19" xfId="0" applyFont="1" applyBorder="1" applyAlignment="1">
      <alignment vertical="center" wrapText="1"/>
    </xf>
    <xf numFmtId="4" fontId="20" fillId="0" borderId="19" xfId="0" applyNumberFormat="1" applyFont="1" applyBorder="1" applyAlignment="1">
      <alignment horizontal="center" vertical="center"/>
    </xf>
    <xf numFmtId="2" fontId="20" fillId="0" borderId="19" xfId="0" applyNumberFormat="1" applyFont="1" applyBorder="1" applyAlignment="1">
      <alignment horizontal="center" vertical="center"/>
    </xf>
    <xf numFmtId="174" fontId="20" fillId="0" borderId="19" xfId="83" applyFont="1" applyFill="1" applyBorder="1" applyAlignment="1">
      <alignment horizontal="right" vertical="center"/>
    </xf>
    <xf numFmtId="0" fontId="20" fillId="0" borderId="19" xfId="0" applyFont="1" applyBorder="1" applyAlignment="1">
      <alignment horizontal="center" vertical="center"/>
    </xf>
    <xf numFmtId="2" fontId="20" fillId="0" borderId="19" xfId="0" applyNumberFormat="1" applyFont="1" applyBorder="1" applyAlignment="1">
      <alignment horizontal="center" vertical="center" wrapText="1"/>
    </xf>
    <xf numFmtId="174" fontId="18" fillId="0" borderId="19" xfId="83" applyFont="1" applyFill="1" applyBorder="1" applyAlignment="1">
      <alignment horizontal="right" vertical="center"/>
    </xf>
    <xf numFmtId="0" fontId="0" fillId="0" borderId="18" xfId="0" applyFont="1" applyFill="1" applyBorder="1" applyAlignment="1">
      <alignment vertical="center" wrapText="1"/>
    </xf>
    <xf numFmtId="0" fontId="0" fillId="0" borderId="18" xfId="0" applyFont="1" applyFill="1" applyBorder="1" applyAlignment="1">
      <alignment horizontal="center" vertical="center" wrapText="1"/>
    </xf>
    <xf numFmtId="0" fontId="21" fillId="0" borderId="18" xfId="0" applyFont="1" applyFill="1" applyBorder="1" applyAlignment="1">
      <alignment vertical="center" wrapText="1"/>
    </xf>
    <xf numFmtId="0" fontId="21" fillId="0" borderId="18" xfId="0" applyFont="1" applyFill="1" applyBorder="1" applyAlignment="1">
      <alignment horizontal="center" vertical="center" wrapText="1"/>
    </xf>
    <xf numFmtId="2" fontId="0" fillId="0" borderId="18" xfId="0" applyNumberFormat="1" applyFont="1" applyFill="1" applyBorder="1" applyAlignment="1">
      <alignment horizontal="center" vertical="center" wrapText="1"/>
    </xf>
    <xf numFmtId="0" fontId="0" fillId="0" borderId="18" xfId="0" applyFont="1" applyFill="1" applyBorder="1" applyAlignment="1">
      <alignment horizontal="left" vertical="center" wrapText="1"/>
    </xf>
    <xf numFmtId="174" fontId="21" fillId="0" borderId="18" xfId="83" applyFont="1" applyFill="1" applyBorder="1" applyAlignment="1">
      <alignment horizontal="center" vertical="center" wrapText="1"/>
    </xf>
    <xf numFmtId="177" fontId="0" fillId="0" borderId="18" xfId="0" applyNumberFormat="1" applyFont="1" applyFill="1" applyBorder="1" applyAlignment="1">
      <alignment horizontal="center" vertical="center" wrapText="1"/>
    </xf>
    <xf numFmtId="174" fontId="0" fillId="0" borderId="18" xfId="83" applyFill="1" applyBorder="1" applyAlignment="1">
      <alignment horizontal="center" vertical="center" wrapText="1"/>
    </xf>
    <xf numFmtId="174" fontId="0" fillId="0" borderId="18" xfId="85" applyFill="1" applyBorder="1" applyAlignment="1">
      <alignment horizontal="center" vertical="center" wrapText="1"/>
    </xf>
    <xf numFmtId="0" fontId="0" fillId="0" borderId="18" xfId="0" applyFont="1" applyFill="1" applyBorder="1" applyAlignment="1">
      <alignment vertical="center" wrapText="1"/>
    </xf>
    <xf numFmtId="0" fontId="0" fillId="0" borderId="18" xfId="0" applyFont="1" applyFill="1" applyBorder="1" applyAlignment="1">
      <alignment horizontal="center" vertical="center" wrapText="1"/>
    </xf>
    <xf numFmtId="0" fontId="21" fillId="0" borderId="18" xfId="0" applyFont="1" applyFill="1" applyBorder="1" applyAlignment="1">
      <alignment vertical="center" wrapText="1"/>
    </xf>
    <xf numFmtId="0" fontId="21" fillId="0" borderId="18" xfId="0" applyFont="1" applyFill="1" applyBorder="1" applyAlignment="1">
      <alignment horizontal="center" vertical="center" wrapText="1"/>
    </xf>
    <xf numFmtId="2" fontId="0" fillId="0" borderId="18" xfId="0" applyNumberFormat="1" applyFont="1" applyFill="1" applyBorder="1" applyAlignment="1">
      <alignment horizontal="center" vertical="center" wrapText="1"/>
    </xf>
    <xf numFmtId="0" fontId="0" fillId="0" borderId="18" xfId="0" applyFont="1" applyFill="1" applyBorder="1" applyAlignment="1">
      <alignment horizontal="left" vertical="center" wrapText="1"/>
    </xf>
    <xf numFmtId="174" fontId="21" fillId="0" borderId="18" xfId="83" applyFont="1" applyFill="1" applyBorder="1" applyAlignment="1">
      <alignment horizontal="center" vertical="center" wrapText="1"/>
    </xf>
    <xf numFmtId="177" fontId="0" fillId="0" borderId="18" xfId="0" applyNumberFormat="1" applyFont="1" applyFill="1" applyBorder="1" applyAlignment="1">
      <alignment horizontal="center" vertical="center" wrapText="1"/>
    </xf>
    <xf numFmtId="174" fontId="0" fillId="0" borderId="18" xfId="83" applyFill="1" applyBorder="1" applyAlignment="1">
      <alignment horizontal="center" vertical="center" wrapText="1"/>
    </xf>
    <xf numFmtId="0" fontId="0" fillId="0" borderId="18" xfId="0" applyFont="1" applyFill="1" applyBorder="1" applyAlignment="1">
      <alignment vertical="center" wrapText="1"/>
    </xf>
    <xf numFmtId="0" fontId="0" fillId="0" borderId="18" xfId="0" applyFont="1" applyFill="1" applyBorder="1" applyAlignment="1">
      <alignment horizontal="center" vertical="center" wrapText="1"/>
    </xf>
    <xf numFmtId="0" fontId="21" fillId="0" borderId="18" xfId="0" applyFont="1" applyFill="1" applyBorder="1" applyAlignment="1">
      <alignment vertical="center" wrapText="1"/>
    </xf>
    <xf numFmtId="0" fontId="21" fillId="0" borderId="18" xfId="0" applyFont="1" applyFill="1" applyBorder="1" applyAlignment="1">
      <alignment horizontal="center" vertical="center" wrapText="1"/>
    </xf>
    <xf numFmtId="2" fontId="0" fillId="0" borderId="18" xfId="0" applyNumberFormat="1" applyFont="1" applyFill="1" applyBorder="1" applyAlignment="1">
      <alignment horizontal="center" vertical="center" wrapText="1"/>
    </xf>
    <xf numFmtId="0" fontId="0" fillId="0" borderId="18" xfId="0" applyFont="1" applyFill="1" applyBorder="1" applyAlignment="1">
      <alignment horizontal="left" vertical="center" wrapText="1"/>
    </xf>
    <xf numFmtId="174" fontId="21" fillId="0" borderId="18" xfId="83" applyFont="1" applyFill="1" applyBorder="1" applyAlignment="1">
      <alignment horizontal="center" vertical="center" wrapText="1"/>
    </xf>
    <xf numFmtId="177" fontId="0" fillId="0" borderId="18" xfId="0" applyNumberFormat="1" applyFont="1" applyFill="1" applyBorder="1" applyAlignment="1">
      <alignment horizontal="center" vertical="center" wrapText="1"/>
    </xf>
    <xf numFmtId="174" fontId="0" fillId="0" borderId="18" xfId="83" applyFill="1" applyBorder="1" applyAlignment="1">
      <alignment horizontal="center" vertical="center" wrapText="1"/>
    </xf>
    <xf numFmtId="10" fontId="18" fillId="0" borderId="19" xfId="0" applyNumberFormat="1" applyFont="1" applyBorder="1" applyAlignment="1">
      <alignment horizontal="right" vertical="center" wrapText="1"/>
    </xf>
    <xf numFmtId="0" fontId="18" fillId="0" borderId="19" xfId="0" applyFont="1" applyBorder="1" applyAlignment="1">
      <alignment vertical="center"/>
    </xf>
    <xf numFmtId="0" fontId="19" fillId="0" borderId="19" xfId="0" applyFont="1" applyBorder="1" applyAlignment="1">
      <alignment vertical="center" wrapText="1"/>
    </xf>
    <xf numFmtId="172" fontId="19" fillId="0" borderId="19" xfId="0" applyNumberFormat="1" applyFont="1" applyBorder="1" applyAlignment="1">
      <alignment horizontal="center" vertical="center"/>
    </xf>
    <xf numFmtId="2" fontId="19" fillId="0" borderId="19" xfId="0" applyNumberFormat="1" applyFont="1" applyBorder="1" applyAlignment="1">
      <alignment horizontal="center" vertical="center"/>
    </xf>
    <xf numFmtId="0" fontId="19" fillId="0" borderId="19" xfId="0" applyFont="1" applyBorder="1" applyAlignment="1">
      <alignment horizontal="center" vertical="center"/>
    </xf>
    <xf numFmtId="0" fontId="19" fillId="0" borderId="19" xfId="0" applyFont="1" applyBorder="1" applyAlignment="1">
      <alignment horizontal="center" vertical="center" wrapText="1"/>
    </xf>
    <xf numFmtId="49" fontId="0" fillId="0" borderId="18" xfId="0" applyNumberFormat="1"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vertical="center" wrapText="1"/>
    </xf>
    <xf numFmtId="0" fontId="0" fillId="0" borderId="0" xfId="0"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49" fontId="0" fillId="0" borderId="0" xfId="0" applyNumberFormat="1" applyFont="1" applyFill="1" applyBorder="1" applyAlignment="1">
      <alignment horizontal="left" vertical="center" wrapText="1"/>
    </xf>
    <xf numFmtId="43" fontId="20" fillId="0" borderId="0" xfId="0" applyNumberFormat="1" applyFont="1" applyAlignment="1">
      <alignment vertical="center"/>
    </xf>
    <xf numFmtId="174" fontId="0" fillId="0" borderId="18" xfId="83" applyFont="1" applyFill="1" applyBorder="1" applyAlignment="1">
      <alignment horizontal="center" vertical="center" wrapText="1"/>
    </xf>
    <xf numFmtId="0" fontId="20" fillId="0" borderId="0" xfId="0" applyFont="1" applyAlignment="1">
      <alignment horizontal="left" vertical="center" wrapText="1"/>
    </xf>
    <xf numFmtId="0" fontId="20" fillId="0" borderId="0" xfId="0" applyFont="1" applyAlignment="1">
      <alignment horizontal="center" vertical="center" wrapText="1"/>
    </xf>
    <xf numFmtId="2" fontId="20" fillId="0" borderId="0" xfId="0" applyNumberFormat="1" applyFont="1" applyAlignment="1">
      <alignment horizontal="center" vertical="center" wrapText="1"/>
    </xf>
    <xf numFmtId="0" fontId="20" fillId="0" borderId="19" xfId="0" applyFont="1" applyFill="1" applyBorder="1" applyAlignment="1">
      <alignment horizontal="left" vertical="center" wrapText="1"/>
    </xf>
    <xf numFmtId="43" fontId="20" fillId="0" borderId="0" xfId="0" applyNumberFormat="1" applyFont="1" applyFill="1" applyAlignment="1">
      <alignment vertical="center" wrapText="1"/>
    </xf>
    <xf numFmtId="0" fontId="20" fillId="0" borderId="19" xfId="0" applyFont="1" applyFill="1" applyBorder="1" applyAlignment="1">
      <alignment horizontal="center" vertical="center" wrapText="1"/>
    </xf>
    <xf numFmtId="0" fontId="20" fillId="0" borderId="19" xfId="0" applyFont="1" applyFill="1" applyBorder="1" applyAlignment="1">
      <alignment vertical="center" wrapText="1"/>
    </xf>
    <xf numFmtId="174" fontId="20" fillId="0" borderId="0" xfId="0" applyNumberFormat="1" applyFont="1" applyAlignment="1">
      <alignment vertical="center"/>
    </xf>
    <xf numFmtId="0" fontId="20" fillId="0" borderId="19" xfId="0" applyFont="1" applyFill="1" applyBorder="1" applyAlignment="1">
      <alignment horizontal="center" vertical="center"/>
    </xf>
    <xf numFmtId="4" fontId="20" fillId="0" borderId="19" xfId="0" applyNumberFormat="1" applyFont="1" applyFill="1" applyBorder="1" applyAlignment="1">
      <alignment horizontal="center" vertical="center"/>
    </xf>
    <xf numFmtId="2" fontId="20" fillId="0" borderId="19" xfId="0" applyNumberFormat="1" applyFont="1" applyFill="1" applyBorder="1" applyAlignment="1">
      <alignment horizontal="center" vertical="center"/>
    </xf>
    <xf numFmtId="0" fontId="38" fillId="0" borderId="18" xfId="79" applyBorder="1" applyAlignment="1" applyProtection="1">
      <alignment vertical="center" wrapText="1"/>
      <protection/>
    </xf>
    <xf numFmtId="0" fontId="0" fillId="0" borderId="0" xfId="0" applyBorder="1" applyAlignment="1">
      <alignment horizontal="lef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177" fontId="0" fillId="0" borderId="0" xfId="0" applyNumberFormat="1" applyBorder="1" applyAlignment="1">
      <alignment horizontal="center" vertical="center" wrapText="1"/>
    </xf>
    <xf numFmtId="0" fontId="38" fillId="0" borderId="18" xfId="79" applyFill="1" applyBorder="1" applyAlignment="1" applyProtection="1">
      <alignment vertical="center" wrapText="1"/>
      <protection/>
    </xf>
    <xf numFmtId="0" fontId="38" fillId="0" borderId="0" xfId="79" applyFill="1" applyBorder="1" applyAlignment="1" applyProtection="1">
      <alignment vertical="center" wrapText="1"/>
      <protection/>
    </xf>
    <xf numFmtId="0" fontId="18" fillId="0" borderId="19" xfId="0" applyFont="1" applyBorder="1" applyAlignment="1">
      <alignment horizontal="left" vertical="center" wrapText="1"/>
    </xf>
  </cellXfs>
  <cellStyles count="97">
    <cellStyle name="Normal" xfId="0"/>
    <cellStyle name="20% - Accent1" xfId="15"/>
    <cellStyle name="20% - Accent2" xfId="16"/>
    <cellStyle name="20% - Accent3" xfId="17"/>
    <cellStyle name="20% - Accent4" xfId="18"/>
    <cellStyle name="20% - Accent5" xfId="19"/>
    <cellStyle name="20% - Accent6" xfId="20"/>
    <cellStyle name="20% - Ênfase1" xfId="21"/>
    <cellStyle name="20% - Ênfase2" xfId="22"/>
    <cellStyle name="20% - Ênfase3" xfId="23"/>
    <cellStyle name="20% - Ênfase4" xfId="24"/>
    <cellStyle name="20% - Ênfase5" xfId="25"/>
    <cellStyle name="20% - Ênfase6" xfId="26"/>
    <cellStyle name="40% - Accent1" xfId="27"/>
    <cellStyle name="40% - Accent2" xfId="28"/>
    <cellStyle name="40% - Accent3" xfId="29"/>
    <cellStyle name="40% - Accent4" xfId="30"/>
    <cellStyle name="40% - Accent5" xfId="31"/>
    <cellStyle name="40% - Accent6" xfId="32"/>
    <cellStyle name="40% - Ênfase1" xfId="33"/>
    <cellStyle name="40% - Ênfase2" xfId="34"/>
    <cellStyle name="40% - Ênfase3" xfId="35"/>
    <cellStyle name="40% - Ênfase4" xfId="36"/>
    <cellStyle name="40% - Ênfase5" xfId="37"/>
    <cellStyle name="40% - Ênfase6" xfId="38"/>
    <cellStyle name="60% - Accent1" xfId="39"/>
    <cellStyle name="60% - Accent2" xfId="40"/>
    <cellStyle name="60% - Accent3" xfId="41"/>
    <cellStyle name="60% - Accent4" xfId="42"/>
    <cellStyle name="60% - Accent5" xfId="43"/>
    <cellStyle name="60% - Accent6" xfId="44"/>
    <cellStyle name="60% - Ênfase1" xfId="45"/>
    <cellStyle name="60% - Ênfase2" xfId="46"/>
    <cellStyle name="60% - Ênfase3" xfId="47"/>
    <cellStyle name="60% - Ênfase4" xfId="48"/>
    <cellStyle name="60% - Ênfase5" xfId="49"/>
    <cellStyle name="60% - Ênfase6" xfId="50"/>
    <cellStyle name="Accent1" xfId="51"/>
    <cellStyle name="Accent2" xfId="52"/>
    <cellStyle name="Accent3" xfId="53"/>
    <cellStyle name="Accent4" xfId="54"/>
    <cellStyle name="Accent5" xfId="55"/>
    <cellStyle name="Accent6" xfId="56"/>
    <cellStyle name="Bad" xfId="57"/>
    <cellStyle name="Bom" xfId="58"/>
    <cellStyle name="Calculation" xfId="59"/>
    <cellStyle name="Cálculo" xfId="60"/>
    <cellStyle name="Célula de Verificação" xfId="61"/>
    <cellStyle name="Célula Vinculada" xfId="62"/>
    <cellStyle name="Check Cell" xfId="63"/>
    <cellStyle name="Comma 2" xfId="64"/>
    <cellStyle name="Currency 2" xfId="65"/>
    <cellStyle name="Ênfase1" xfId="66"/>
    <cellStyle name="Ênfase2" xfId="67"/>
    <cellStyle name="Ênfase3" xfId="68"/>
    <cellStyle name="Ênfase4" xfId="69"/>
    <cellStyle name="Ênfase5" xfId="70"/>
    <cellStyle name="Ênfase6" xfId="71"/>
    <cellStyle name="Entrada" xfId="72"/>
    <cellStyle name="Explanatory Text" xfId="73"/>
    <cellStyle name="Good" xfId="74"/>
    <cellStyle name="Heading 1" xfId="75"/>
    <cellStyle name="Heading 2" xfId="76"/>
    <cellStyle name="Heading 3" xfId="77"/>
    <cellStyle name="Heading 4" xfId="78"/>
    <cellStyle name="Hyperlink" xfId="79"/>
    <cellStyle name="Followed Hyperlink" xfId="80"/>
    <cellStyle name="Input" xfId="81"/>
    <cellStyle name="Linked Cell" xfId="82"/>
    <cellStyle name="Currency" xfId="83"/>
    <cellStyle name="Currency [0]" xfId="84"/>
    <cellStyle name="Moeda 2" xfId="85"/>
    <cellStyle name="Neutral" xfId="86"/>
    <cellStyle name="Neutro" xfId="87"/>
    <cellStyle name="Normal 2" xfId="88"/>
    <cellStyle name="Normal 3" xfId="89"/>
    <cellStyle name="Nota" xfId="90"/>
    <cellStyle name="Note" xfId="91"/>
    <cellStyle name="Output" xfId="92"/>
    <cellStyle name="Percent" xfId="93"/>
    <cellStyle name="Porcentagem 2" xfId="94"/>
    <cellStyle name="Ruim" xfId="95"/>
    <cellStyle name="Saída" xfId="96"/>
    <cellStyle name="Comma [0]" xfId="97"/>
    <cellStyle name="Separador de milhares 2" xfId="98"/>
    <cellStyle name="Separador de milhares 3" xfId="99"/>
    <cellStyle name="Texto de Aviso" xfId="100"/>
    <cellStyle name="Texto Explicativo" xfId="101"/>
    <cellStyle name="Title" xfId="102"/>
    <cellStyle name="Título" xfId="103"/>
    <cellStyle name="Título 1" xfId="104"/>
    <cellStyle name="Título 2" xfId="105"/>
    <cellStyle name="Título 3" xfId="106"/>
    <cellStyle name="Título 4" xfId="107"/>
    <cellStyle name="Total" xfId="108"/>
    <cellStyle name="Comma" xfId="109"/>
    <cellStyle name="Warning Text" xfId="110"/>
  </cellStyles>
  <dxfs count="13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indexed="20"/>
      </font>
      <fill>
        <patternFill>
          <bgColor indexed="45"/>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3E3E3"/>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504825</xdr:colOff>
      <xdr:row>70</xdr:row>
      <xdr:rowOff>38100</xdr:rowOff>
    </xdr:from>
    <xdr:to>
      <xdr:col>3</xdr:col>
      <xdr:colOff>504825</xdr:colOff>
      <xdr:row>72</xdr:row>
      <xdr:rowOff>85725</xdr:rowOff>
    </xdr:to>
    <xdr:sp fLocksText="0">
      <xdr:nvSpPr>
        <xdr:cNvPr id="1" name="Text Box 697"/>
        <xdr:cNvSpPr txBox="1">
          <a:spLocks noChangeArrowheads="1"/>
        </xdr:cNvSpPr>
      </xdr:nvSpPr>
      <xdr:spPr>
        <a:xfrm>
          <a:off x="6581775" y="17668875"/>
          <a:ext cx="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504825</xdr:colOff>
      <xdr:row>74</xdr:row>
      <xdr:rowOff>180975</xdr:rowOff>
    </xdr:from>
    <xdr:to>
      <xdr:col>3</xdr:col>
      <xdr:colOff>504825</xdr:colOff>
      <xdr:row>76</xdr:row>
      <xdr:rowOff>0</xdr:rowOff>
    </xdr:to>
    <xdr:sp fLocksText="0">
      <xdr:nvSpPr>
        <xdr:cNvPr id="2" name="Text Box 697"/>
        <xdr:cNvSpPr txBox="1">
          <a:spLocks noChangeArrowheads="1"/>
        </xdr:cNvSpPr>
      </xdr:nvSpPr>
      <xdr:spPr>
        <a:xfrm>
          <a:off x="6581775" y="18535650"/>
          <a:ext cx="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504825</xdr:colOff>
      <xdr:row>73</xdr:row>
      <xdr:rowOff>95250</xdr:rowOff>
    </xdr:from>
    <xdr:to>
      <xdr:col>3</xdr:col>
      <xdr:colOff>504825</xdr:colOff>
      <xdr:row>75</xdr:row>
      <xdr:rowOff>142875</xdr:rowOff>
    </xdr:to>
    <xdr:sp fLocksText="0">
      <xdr:nvSpPr>
        <xdr:cNvPr id="3" name="Text Box 697"/>
        <xdr:cNvSpPr txBox="1">
          <a:spLocks noChangeArrowheads="1"/>
        </xdr:cNvSpPr>
      </xdr:nvSpPr>
      <xdr:spPr>
        <a:xfrm>
          <a:off x="6581775" y="18268950"/>
          <a:ext cx="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504825</xdr:colOff>
      <xdr:row>12</xdr:row>
      <xdr:rowOff>66675</xdr:rowOff>
    </xdr:from>
    <xdr:to>
      <xdr:col>3</xdr:col>
      <xdr:colOff>504825</xdr:colOff>
      <xdr:row>23</xdr:row>
      <xdr:rowOff>85725</xdr:rowOff>
    </xdr:to>
    <xdr:sp fLocksText="0">
      <xdr:nvSpPr>
        <xdr:cNvPr id="4" name="Text Box 697"/>
        <xdr:cNvSpPr txBox="1">
          <a:spLocks noChangeArrowheads="1"/>
        </xdr:cNvSpPr>
      </xdr:nvSpPr>
      <xdr:spPr>
        <a:xfrm>
          <a:off x="6581775" y="3333750"/>
          <a:ext cx="0" cy="2152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504825</xdr:colOff>
      <xdr:row>28</xdr:row>
      <xdr:rowOff>66675</xdr:rowOff>
    </xdr:from>
    <xdr:to>
      <xdr:col>3</xdr:col>
      <xdr:colOff>504825</xdr:colOff>
      <xdr:row>29</xdr:row>
      <xdr:rowOff>0</xdr:rowOff>
    </xdr:to>
    <xdr:sp fLocksText="0">
      <xdr:nvSpPr>
        <xdr:cNvPr id="5" name="Text Box 697"/>
        <xdr:cNvSpPr txBox="1">
          <a:spLocks noChangeArrowheads="1"/>
        </xdr:cNvSpPr>
      </xdr:nvSpPr>
      <xdr:spPr>
        <a:xfrm>
          <a:off x="6581775" y="6515100"/>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504825</xdr:colOff>
      <xdr:row>29</xdr:row>
      <xdr:rowOff>66675</xdr:rowOff>
    </xdr:from>
    <xdr:to>
      <xdr:col>3</xdr:col>
      <xdr:colOff>504825</xdr:colOff>
      <xdr:row>30</xdr:row>
      <xdr:rowOff>85725</xdr:rowOff>
    </xdr:to>
    <xdr:sp fLocksText="0">
      <xdr:nvSpPr>
        <xdr:cNvPr id="6" name="Text Box 697"/>
        <xdr:cNvSpPr txBox="1">
          <a:spLocks noChangeArrowheads="1"/>
        </xdr:cNvSpPr>
      </xdr:nvSpPr>
      <xdr:spPr>
        <a:xfrm>
          <a:off x="6581775" y="6696075"/>
          <a:ext cx="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504825</xdr:colOff>
      <xdr:row>30</xdr:row>
      <xdr:rowOff>66675</xdr:rowOff>
    </xdr:from>
    <xdr:to>
      <xdr:col>3</xdr:col>
      <xdr:colOff>504825</xdr:colOff>
      <xdr:row>39</xdr:row>
      <xdr:rowOff>0</xdr:rowOff>
    </xdr:to>
    <xdr:sp fLocksText="0">
      <xdr:nvSpPr>
        <xdr:cNvPr id="7" name="Text Box 697"/>
        <xdr:cNvSpPr txBox="1">
          <a:spLocks noChangeArrowheads="1"/>
        </xdr:cNvSpPr>
      </xdr:nvSpPr>
      <xdr:spPr>
        <a:xfrm>
          <a:off x="6581775" y="7019925"/>
          <a:ext cx="0" cy="1990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504825</xdr:colOff>
      <xdr:row>39</xdr:row>
      <xdr:rowOff>0</xdr:rowOff>
    </xdr:from>
    <xdr:to>
      <xdr:col>3</xdr:col>
      <xdr:colOff>504825</xdr:colOff>
      <xdr:row>40</xdr:row>
      <xdr:rowOff>85725</xdr:rowOff>
    </xdr:to>
    <xdr:sp fLocksText="0">
      <xdr:nvSpPr>
        <xdr:cNvPr id="8" name="Text Box 697"/>
        <xdr:cNvSpPr txBox="1">
          <a:spLocks noChangeArrowheads="1"/>
        </xdr:cNvSpPr>
      </xdr:nvSpPr>
      <xdr:spPr>
        <a:xfrm>
          <a:off x="6581775" y="9010650"/>
          <a:ext cx="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504825</xdr:colOff>
      <xdr:row>43</xdr:row>
      <xdr:rowOff>66675</xdr:rowOff>
    </xdr:from>
    <xdr:to>
      <xdr:col>3</xdr:col>
      <xdr:colOff>504825</xdr:colOff>
      <xdr:row>44</xdr:row>
      <xdr:rowOff>0</xdr:rowOff>
    </xdr:to>
    <xdr:sp fLocksText="0">
      <xdr:nvSpPr>
        <xdr:cNvPr id="9" name="Text Box 697"/>
        <xdr:cNvSpPr txBox="1">
          <a:spLocks noChangeArrowheads="1"/>
        </xdr:cNvSpPr>
      </xdr:nvSpPr>
      <xdr:spPr>
        <a:xfrm>
          <a:off x="6581775" y="9801225"/>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504825</xdr:colOff>
      <xdr:row>46</xdr:row>
      <xdr:rowOff>66675</xdr:rowOff>
    </xdr:from>
    <xdr:to>
      <xdr:col>3</xdr:col>
      <xdr:colOff>504825</xdr:colOff>
      <xdr:row>47</xdr:row>
      <xdr:rowOff>0</xdr:rowOff>
    </xdr:to>
    <xdr:sp fLocksText="0">
      <xdr:nvSpPr>
        <xdr:cNvPr id="10" name="Text Box 697"/>
        <xdr:cNvSpPr txBox="1">
          <a:spLocks noChangeArrowheads="1"/>
        </xdr:cNvSpPr>
      </xdr:nvSpPr>
      <xdr:spPr>
        <a:xfrm>
          <a:off x="6581775" y="10629900"/>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504825</xdr:colOff>
      <xdr:row>46</xdr:row>
      <xdr:rowOff>66675</xdr:rowOff>
    </xdr:from>
    <xdr:to>
      <xdr:col>3</xdr:col>
      <xdr:colOff>504825</xdr:colOff>
      <xdr:row>47</xdr:row>
      <xdr:rowOff>0</xdr:rowOff>
    </xdr:to>
    <xdr:sp fLocksText="0">
      <xdr:nvSpPr>
        <xdr:cNvPr id="11" name="Text Box 697"/>
        <xdr:cNvSpPr txBox="1">
          <a:spLocks noChangeArrowheads="1"/>
        </xdr:cNvSpPr>
      </xdr:nvSpPr>
      <xdr:spPr>
        <a:xfrm>
          <a:off x="6581775" y="10629900"/>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504825</xdr:colOff>
      <xdr:row>34</xdr:row>
      <xdr:rowOff>66675</xdr:rowOff>
    </xdr:from>
    <xdr:to>
      <xdr:col>3</xdr:col>
      <xdr:colOff>504825</xdr:colOff>
      <xdr:row>35</xdr:row>
      <xdr:rowOff>0</xdr:rowOff>
    </xdr:to>
    <xdr:sp fLocksText="0">
      <xdr:nvSpPr>
        <xdr:cNvPr id="12" name="Text Box 697"/>
        <xdr:cNvSpPr txBox="1">
          <a:spLocks noChangeArrowheads="1"/>
        </xdr:cNvSpPr>
      </xdr:nvSpPr>
      <xdr:spPr>
        <a:xfrm>
          <a:off x="6581775" y="77438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504825</xdr:colOff>
      <xdr:row>37</xdr:row>
      <xdr:rowOff>0</xdr:rowOff>
    </xdr:from>
    <xdr:to>
      <xdr:col>3</xdr:col>
      <xdr:colOff>504825</xdr:colOff>
      <xdr:row>37</xdr:row>
      <xdr:rowOff>85725</xdr:rowOff>
    </xdr:to>
    <xdr:sp fLocksText="0">
      <xdr:nvSpPr>
        <xdr:cNvPr id="13" name="Text Box 697"/>
        <xdr:cNvSpPr txBox="1">
          <a:spLocks noChangeArrowheads="1"/>
        </xdr:cNvSpPr>
      </xdr:nvSpPr>
      <xdr:spPr>
        <a:xfrm>
          <a:off x="6581775" y="850582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504825</xdr:colOff>
      <xdr:row>37</xdr:row>
      <xdr:rowOff>66675</xdr:rowOff>
    </xdr:from>
    <xdr:to>
      <xdr:col>3</xdr:col>
      <xdr:colOff>504825</xdr:colOff>
      <xdr:row>38</xdr:row>
      <xdr:rowOff>0</xdr:rowOff>
    </xdr:to>
    <xdr:sp fLocksText="0">
      <xdr:nvSpPr>
        <xdr:cNvPr id="14" name="Text Box 697"/>
        <xdr:cNvSpPr txBox="1">
          <a:spLocks noChangeArrowheads="1"/>
        </xdr:cNvSpPr>
      </xdr:nvSpPr>
      <xdr:spPr>
        <a:xfrm>
          <a:off x="6581775" y="8572500"/>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504825</xdr:colOff>
      <xdr:row>36</xdr:row>
      <xdr:rowOff>66675</xdr:rowOff>
    </xdr:from>
    <xdr:to>
      <xdr:col>3</xdr:col>
      <xdr:colOff>504825</xdr:colOff>
      <xdr:row>37</xdr:row>
      <xdr:rowOff>0</xdr:rowOff>
    </xdr:to>
    <xdr:sp fLocksText="0">
      <xdr:nvSpPr>
        <xdr:cNvPr id="15" name="Text Box 697"/>
        <xdr:cNvSpPr txBox="1">
          <a:spLocks noChangeArrowheads="1"/>
        </xdr:cNvSpPr>
      </xdr:nvSpPr>
      <xdr:spPr>
        <a:xfrm>
          <a:off x="6581775" y="8391525"/>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504825</xdr:colOff>
      <xdr:row>672</xdr:row>
      <xdr:rowOff>66675</xdr:rowOff>
    </xdr:from>
    <xdr:to>
      <xdr:col>3</xdr:col>
      <xdr:colOff>504825</xdr:colOff>
      <xdr:row>674</xdr:row>
      <xdr:rowOff>85725</xdr:rowOff>
    </xdr:to>
    <xdr:sp fLocksText="0">
      <xdr:nvSpPr>
        <xdr:cNvPr id="16" name="Text Box 697"/>
        <xdr:cNvSpPr txBox="1">
          <a:spLocks noChangeArrowheads="1"/>
        </xdr:cNvSpPr>
      </xdr:nvSpPr>
      <xdr:spPr>
        <a:xfrm>
          <a:off x="6581775" y="156552900"/>
          <a:ext cx="0" cy="523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504825</xdr:colOff>
      <xdr:row>658</xdr:row>
      <xdr:rowOff>66675</xdr:rowOff>
    </xdr:from>
    <xdr:to>
      <xdr:col>3</xdr:col>
      <xdr:colOff>504825</xdr:colOff>
      <xdr:row>660</xdr:row>
      <xdr:rowOff>85725</xdr:rowOff>
    </xdr:to>
    <xdr:sp fLocksText="0">
      <xdr:nvSpPr>
        <xdr:cNvPr id="17" name="Text Box 697"/>
        <xdr:cNvSpPr txBox="1">
          <a:spLocks noChangeArrowheads="1"/>
        </xdr:cNvSpPr>
      </xdr:nvSpPr>
      <xdr:spPr>
        <a:xfrm>
          <a:off x="6581775" y="153571575"/>
          <a:ext cx="0" cy="685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504825</xdr:colOff>
      <xdr:row>797</xdr:row>
      <xdr:rowOff>0</xdr:rowOff>
    </xdr:from>
    <xdr:to>
      <xdr:col>3</xdr:col>
      <xdr:colOff>504825</xdr:colOff>
      <xdr:row>798</xdr:row>
      <xdr:rowOff>85725</xdr:rowOff>
    </xdr:to>
    <xdr:sp fLocksText="0">
      <xdr:nvSpPr>
        <xdr:cNvPr id="18" name="Text Box 697"/>
        <xdr:cNvSpPr txBox="1">
          <a:spLocks noChangeArrowheads="1"/>
        </xdr:cNvSpPr>
      </xdr:nvSpPr>
      <xdr:spPr>
        <a:xfrm>
          <a:off x="6581775" y="192262125"/>
          <a:ext cx="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504825</xdr:colOff>
      <xdr:row>801</xdr:row>
      <xdr:rowOff>66675</xdr:rowOff>
    </xdr:from>
    <xdr:to>
      <xdr:col>3</xdr:col>
      <xdr:colOff>504825</xdr:colOff>
      <xdr:row>802</xdr:row>
      <xdr:rowOff>0</xdr:rowOff>
    </xdr:to>
    <xdr:sp fLocksText="0">
      <xdr:nvSpPr>
        <xdr:cNvPr id="19" name="Text Box 697"/>
        <xdr:cNvSpPr txBox="1">
          <a:spLocks noChangeArrowheads="1"/>
        </xdr:cNvSpPr>
      </xdr:nvSpPr>
      <xdr:spPr>
        <a:xfrm>
          <a:off x="6581775" y="193052700"/>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bruno\C\Clientes\Santa%20Helena\Margarida%20Costa%20Pinto\Planilha%20instala&#231;&#245;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bruno\C\Souza%20Gama\Obras%20Souza%20Gama\Senai\Convite%20006_05\Planilha%20de%20vend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bruno\C\Empresa\Souza%20Gama\Pacto\CERB%20-%20Jaguarari\Material%20recebido\ANEXO%20IV%20-%20OR&#199;AMENTO%20ESTIMADO%20COM%20PRE&#199;OS\Volume%20XI%20-%20Or&#231;amenta&#231;&#227;o\Jaguarari_Or&#231;amento\HIS-JGR-EC-OR-%20Elevat&#243;ri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14100703.SETDIS.000\Desktop\OR&#199;AMENTO2\C\EXCEL\PROPOSTA\STP-PM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_DOCUMENTA&#199;&#195;O%20PARA%20LICITA&#199;&#213;ES\Constru&#231;&#227;o%20do%20galp&#227;o%20e%20das%20oficinas%20-%20SESC%20Samambaia\Samambaia\PLANILHA%20OR&#199;AMENT&#193;RIA%20ESTIMATIVA%20-%20Mesa%20Brasil%20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ntrada de energia"/>
      <sheetName val="Elétricas"/>
      <sheetName val="Tv a cabo - telefone"/>
      <sheetName val="Pára-raios"/>
      <sheetName val="Água fria"/>
      <sheetName val="Água quente"/>
      <sheetName val="Irrigação"/>
      <sheetName val="Águas pluviais e esgoto"/>
      <sheetName val="Registros e válvulas"/>
      <sheetName val="Louças e metais"/>
      <sheetName val="Aquecedores, bombas e tanques"/>
      <sheetName val="Piscina"/>
      <sheetName val="GLP"/>
      <sheetName val="Encargos Sociais"/>
      <sheetName val="Resumo"/>
      <sheetName val="Composições (3)"/>
      <sheetName val="Composições (2)"/>
      <sheetName val="Insumos"/>
      <sheetName val="Composições"/>
      <sheetName val="Curva Serviços"/>
      <sheetName val="Planilha Serviços"/>
      <sheetName val="Planilha de Materiais"/>
      <sheetName val="Planilha de Resumo"/>
      <sheetName val="Educação ambiental"/>
      <sheetName val="Despesas Indiretas"/>
      <sheetName val="Fechamento"/>
      <sheetName val="Curva ABC Insumos"/>
      <sheetName val="Curva ABC Serviços"/>
      <sheetName val="equalização"/>
      <sheetName val="CACAAB"/>
      <sheetName val="CCET"/>
      <sheetName val="Composições novas"/>
      <sheetName val="Planilha de custo"/>
      <sheetName val="Planilha de Opções"/>
      <sheetName val="Planilha do Muro"/>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Nº 01"/>
      <sheetName val="Nº 02"/>
      <sheetName val="Nº 03"/>
      <sheetName val="Nº 04"/>
      <sheetName val="Nº 05"/>
      <sheetName val="Nº 06"/>
      <sheetName val="Nº 07"/>
      <sheetName val="Nº 08"/>
      <sheetName val="Composições (3)"/>
      <sheetName val="Composições (2)"/>
      <sheetName val="Insumos"/>
      <sheetName val="Composições"/>
      <sheetName val="Curva Serviços"/>
      <sheetName val="Planilha Serviços"/>
      <sheetName val="Planilha de Materiais"/>
      <sheetName val="Planilha de Resumo"/>
      <sheetName val="Educação ambiental"/>
      <sheetName val="Despesas Indiretas"/>
      <sheetName val="Fechamento"/>
      <sheetName val="Curva ABC Insumos"/>
      <sheetName val="Curva ABC Serviços"/>
      <sheetName val="equalizaçã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sumo"/>
      <sheetName val="HIS-JGA-OR-SER EE1"/>
      <sheetName val="HIS-JGA-OR-MAT EE1 "/>
      <sheetName val="HIS-JGA-OR-SER EE2"/>
      <sheetName val="HIS-JGA-OR-MAT EE2"/>
      <sheetName val="Composições (3)"/>
      <sheetName val="Composições (2)"/>
      <sheetName val="Insumos"/>
      <sheetName val="Composições"/>
      <sheetName val="Curva Serviços"/>
      <sheetName val="Planilha Serviços"/>
      <sheetName val="Planilha de Materiais"/>
      <sheetName val="Planilha de Resumo"/>
      <sheetName val="Educação ambiental"/>
      <sheetName val="Despesas Indiretas"/>
      <sheetName val="Fechamento"/>
      <sheetName val="Curva ABC Insumos"/>
      <sheetName val="Curva ABC Serviços"/>
      <sheetName val="equalização"/>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orçamto"/>
      <sheetName val="orçamto (2)"/>
      <sheetName val="abc "/>
      <sheetName val="ABC-2"/>
      <sheetName val="DI-STP - PMS"/>
      <sheetName val="Composições (3)"/>
      <sheetName val="Composições (2)"/>
      <sheetName val="Insumos"/>
      <sheetName val="Composições"/>
      <sheetName val="Curva Serviços"/>
      <sheetName val="Planilha Serviços"/>
      <sheetName val="Planilha de Materiais"/>
      <sheetName val="Planilha de Resumo"/>
      <sheetName val="Educação ambiental"/>
      <sheetName val="Despesas Indiretas"/>
      <sheetName val="Fechamento"/>
      <sheetName val="Curva ABC Insumos"/>
      <sheetName val="Curva ABC Serviços"/>
      <sheetName val="equalização"/>
      <sheetName val="DI-STP - PMS:Curva Serviços"/>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MPOSIÇÕES (2)"/>
      <sheetName val="COMPOSIÇÕES"/>
    </sheetNames>
    <sheetDataSet>
      <sheetData sheetId="0">
        <row r="15">
          <cell r="B15" t="str">
            <v>CP 002</v>
          </cell>
        </row>
        <row r="24">
          <cell r="B24" t="str">
            <v>CP 003</v>
          </cell>
        </row>
      </sheetData>
    </sheetDataSet>
  </externalBook>
</externalLink>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loja.kingspan-isoeste.com.br/telha-termica.html" TargetMode="External" /><Relationship Id="rId2" Type="http://schemas.openxmlformats.org/officeDocument/2006/relationships/hyperlink" Target="https://loja.kingspan-isoeste.com.br/telha-termica-sanduiche-trapezoidal-aco-superior-e-filme-aluminio-nucleo-em-pir-com-espessura-de-30mm-largura-util-de-01-metro.html" TargetMode="External" /><Relationship Id="rId3" Type="http://schemas.openxmlformats.org/officeDocument/2006/relationships/hyperlink" Target="https://loja.kingspan-isoeste.com.br/ec-cumeeira-trapezoidal-tp40-std-galvalume-0-43mm.html" TargetMode="External" /><Relationship Id="rId4" Type="http://schemas.openxmlformats.org/officeDocument/2006/relationships/hyperlink" Target="https://www.poloeletrica.com.br/chave-fusivel-base-c-15kv-100a" TargetMode="External" /><Relationship Id="rId5" Type="http://schemas.openxmlformats.org/officeDocument/2006/relationships/hyperlink" Target="https://www.lojasetta.com/base-fusivel-nh01-250a-bnh01-250-weg/177001/produto/" TargetMode="External" /><Relationship Id="rId6" Type="http://schemas.openxmlformats.org/officeDocument/2006/relationships/drawing" Target="../drawings/drawing1.xml" /><Relationship Id="rId7"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292"/>
  <sheetViews>
    <sheetView showZeros="0" zoomScale="85" zoomScaleNormal="85" zoomScaleSheetLayoutView="85" zoomScalePageLayoutView="115" workbookViewId="0" topLeftCell="A216">
      <selection activeCell="D5" sqref="D5"/>
    </sheetView>
  </sheetViews>
  <sheetFormatPr defaultColWidth="9.140625" defaultRowHeight="12.75"/>
  <cols>
    <col min="1" max="1" width="11.140625" style="1" customWidth="1"/>
    <col min="2" max="2" width="18.00390625" style="2" bestFit="1" customWidth="1"/>
    <col min="3" max="3" width="14.8515625" style="2" customWidth="1"/>
    <col min="4" max="4" width="92.00390625" style="3" customWidth="1"/>
    <col min="5" max="5" width="9.421875" style="2" customWidth="1"/>
    <col min="6" max="6" width="11.57421875" style="4" customWidth="1"/>
    <col min="7" max="7" width="18.00390625" style="5" bestFit="1" customWidth="1"/>
    <col min="8" max="8" width="21.140625" style="5" bestFit="1" customWidth="1"/>
    <col min="9" max="9" width="18.57421875" style="6" customWidth="1"/>
    <col min="10" max="10" width="10.421875" style="6" bestFit="1" customWidth="1"/>
    <col min="11" max="11" width="13.8515625" style="6" bestFit="1" customWidth="1"/>
    <col min="12" max="16384" width="9.140625" style="6" customWidth="1"/>
  </cols>
  <sheetData>
    <row r="1" spans="1:8" s="2" customFormat="1" ht="26.25" customHeight="1">
      <c r="A1" s="80" t="s">
        <v>0</v>
      </c>
      <c r="B1" s="80" t="s">
        <v>1</v>
      </c>
      <c r="C1" s="81" t="s">
        <v>2</v>
      </c>
      <c r="D1" s="81" t="s">
        <v>3</v>
      </c>
      <c r="E1" s="80" t="s">
        <v>4</v>
      </c>
      <c r="F1" s="79" t="s">
        <v>5</v>
      </c>
      <c r="G1" s="78" t="s">
        <v>6</v>
      </c>
      <c r="H1" s="78" t="s">
        <v>7</v>
      </c>
    </row>
    <row r="2" spans="1:8" ht="21.75" customHeight="1">
      <c r="A2" s="32"/>
      <c r="B2" s="32"/>
      <c r="C2" s="32"/>
      <c r="D2" s="33" t="s">
        <v>53</v>
      </c>
      <c r="E2" s="33"/>
      <c r="F2" s="33"/>
      <c r="G2" s="34"/>
      <c r="H2" s="34"/>
    </row>
    <row r="3" spans="1:8" ht="21.75" customHeight="1">
      <c r="A3" s="35" t="s">
        <v>59</v>
      </c>
      <c r="B3" s="35"/>
      <c r="C3" s="35"/>
      <c r="D3" s="36" t="s">
        <v>8</v>
      </c>
      <c r="E3" s="36"/>
      <c r="F3" s="36"/>
      <c r="G3" s="36"/>
      <c r="H3" s="37"/>
    </row>
    <row r="4" spans="1:8" ht="21.75" customHeight="1">
      <c r="A4" s="77" t="str">
        <f>A3&amp;"1"</f>
        <v>01.01</v>
      </c>
      <c r="B4" s="77"/>
      <c r="C4" s="77"/>
      <c r="D4" s="77" t="s">
        <v>9</v>
      </c>
      <c r="E4" s="77"/>
      <c r="F4" s="77"/>
      <c r="G4" s="77"/>
      <c r="H4" s="77"/>
    </row>
    <row r="5" spans="1:9" ht="26.25" customHeight="1">
      <c r="A5" s="38" t="str">
        <f>A4&amp;".01"</f>
        <v>01.01.01</v>
      </c>
      <c r="B5" s="39" t="s">
        <v>10</v>
      </c>
      <c r="C5" s="39" t="s">
        <v>11</v>
      </c>
      <c r="D5" s="40" t="s">
        <v>75</v>
      </c>
      <c r="E5" s="41" t="s">
        <v>12</v>
      </c>
      <c r="F5" s="42">
        <v>1</v>
      </c>
      <c r="G5" s="43"/>
      <c r="H5" s="43"/>
      <c r="I5" s="15"/>
    </row>
    <row r="6" spans="1:8" ht="21.75" customHeight="1">
      <c r="A6" s="77" t="str">
        <f>A3&amp;"2"</f>
        <v>01.02</v>
      </c>
      <c r="B6" s="77"/>
      <c r="C6" s="77"/>
      <c r="D6" s="77" t="s">
        <v>13</v>
      </c>
      <c r="E6" s="77"/>
      <c r="F6" s="77"/>
      <c r="G6" s="77"/>
      <c r="H6" s="77"/>
    </row>
    <row r="7" spans="1:9" ht="26.25" customHeight="1">
      <c r="A7" s="38" t="str">
        <f>A6&amp;".01"</f>
        <v>01.02.01</v>
      </c>
      <c r="B7" s="44" t="s">
        <v>630</v>
      </c>
      <c r="C7" s="39">
        <v>4813</v>
      </c>
      <c r="D7" s="40" t="s">
        <v>15</v>
      </c>
      <c r="E7" s="41" t="s">
        <v>16</v>
      </c>
      <c r="F7" s="42">
        <f>1.8*1.2</f>
        <v>2.16</v>
      </c>
      <c r="G7" s="43"/>
      <c r="H7" s="43"/>
      <c r="I7" s="15"/>
    </row>
    <row r="8" spans="1:9" ht="30.75" customHeight="1">
      <c r="A8" s="38" t="s">
        <v>89</v>
      </c>
      <c r="B8" s="44" t="s">
        <v>630</v>
      </c>
      <c r="C8" s="39">
        <v>10775</v>
      </c>
      <c r="D8" s="40" t="s">
        <v>88</v>
      </c>
      <c r="E8" s="41" t="s">
        <v>14</v>
      </c>
      <c r="F8" s="42">
        <v>6</v>
      </c>
      <c r="G8" s="43"/>
      <c r="H8" s="43"/>
      <c r="I8" s="15"/>
    </row>
    <row r="9" spans="1:8" ht="21.75" customHeight="1">
      <c r="A9" s="77" t="str">
        <f>A3&amp;"3"</f>
        <v>01.03</v>
      </c>
      <c r="B9" s="77"/>
      <c r="C9" s="77"/>
      <c r="D9" s="77" t="s">
        <v>23</v>
      </c>
      <c r="E9" s="77"/>
      <c r="F9" s="77"/>
      <c r="G9" s="77"/>
      <c r="H9" s="77"/>
    </row>
    <row r="10" spans="1:11" ht="26.25" customHeight="1">
      <c r="A10" s="38" t="str">
        <f>A9&amp;".01"</f>
        <v>01.03.01</v>
      </c>
      <c r="B10" s="44" t="s">
        <v>630</v>
      </c>
      <c r="C10" s="39">
        <v>90778</v>
      </c>
      <c r="D10" s="40" t="s">
        <v>519</v>
      </c>
      <c r="E10" s="41" t="s">
        <v>17</v>
      </c>
      <c r="F10" s="42">
        <f>2*22*F12</f>
        <v>264</v>
      </c>
      <c r="G10" s="43"/>
      <c r="H10" s="43"/>
      <c r="I10" s="15"/>
      <c r="J10" s="88"/>
      <c r="K10" s="88"/>
    </row>
    <row r="11" spans="1:11" ht="26.25" customHeight="1">
      <c r="A11" s="38" t="str">
        <f>A9&amp;".02"</f>
        <v>01.03.02</v>
      </c>
      <c r="B11" s="44" t="s">
        <v>630</v>
      </c>
      <c r="C11" s="39">
        <v>91677</v>
      </c>
      <c r="D11" s="40" t="s">
        <v>520</v>
      </c>
      <c r="E11" s="41" t="s">
        <v>17</v>
      </c>
      <c r="F11" s="42">
        <f>22*2</f>
        <v>44</v>
      </c>
      <c r="G11" s="43"/>
      <c r="H11" s="43"/>
      <c r="I11" s="15"/>
      <c r="K11" s="97"/>
    </row>
    <row r="12" spans="1:11" ht="26.25" customHeight="1">
      <c r="A12" s="38" t="str">
        <f>A9&amp;".03"</f>
        <v>01.03.03</v>
      </c>
      <c r="B12" s="44" t="s">
        <v>630</v>
      </c>
      <c r="C12" s="39">
        <v>93572</v>
      </c>
      <c r="D12" s="40" t="s">
        <v>184</v>
      </c>
      <c r="E12" s="41" t="s">
        <v>14</v>
      </c>
      <c r="F12" s="42">
        <v>6</v>
      </c>
      <c r="G12" s="43"/>
      <c r="H12" s="43"/>
      <c r="I12" s="15"/>
      <c r="K12" s="97"/>
    </row>
    <row r="13" spans="1:11" ht="21.75" customHeight="1">
      <c r="A13" s="77" t="str">
        <f>A3&amp;"4"</f>
        <v>01.04</v>
      </c>
      <c r="B13" s="77"/>
      <c r="C13" s="77"/>
      <c r="D13" s="77" t="s">
        <v>36</v>
      </c>
      <c r="E13" s="77"/>
      <c r="F13" s="77"/>
      <c r="G13" s="77"/>
      <c r="H13" s="77"/>
      <c r="K13" s="88"/>
    </row>
    <row r="14" spans="1:8" ht="57">
      <c r="A14" s="38" t="str">
        <f>A13&amp;".01"</f>
        <v>01.04.01</v>
      </c>
      <c r="B14" s="44" t="s">
        <v>630</v>
      </c>
      <c r="C14" s="39" t="s">
        <v>63</v>
      </c>
      <c r="D14" s="40" t="s">
        <v>64</v>
      </c>
      <c r="E14" s="44" t="s">
        <v>46</v>
      </c>
      <c r="F14" s="42">
        <v>10</v>
      </c>
      <c r="G14" s="43"/>
      <c r="H14" s="43"/>
    </row>
    <row r="15" spans="1:8" ht="21.75" customHeight="1">
      <c r="A15" s="77" t="s">
        <v>82</v>
      </c>
      <c r="B15" s="77"/>
      <c r="C15" s="77"/>
      <c r="D15" s="77" t="s">
        <v>62</v>
      </c>
      <c r="E15" s="77"/>
      <c r="F15" s="77"/>
      <c r="G15" s="77"/>
      <c r="H15" s="77"/>
    </row>
    <row r="16" spans="1:9" ht="26.25" customHeight="1">
      <c r="A16" s="38" t="s">
        <v>83</v>
      </c>
      <c r="B16" s="44" t="s">
        <v>10</v>
      </c>
      <c r="C16" s="39" t="s">
        <v>11</v>
      </c>
      <c r="D16" s="40" t="s">
        <v>68</v>
      </c>
      <c r="E16" s="41" t="s">
        <v>12</v>
      </c>
      <c r="F16" s="42">
        <v>6</v>
      </c>
      <c r="G16" s="43"/>
      <c r="H16" s="43"/>
      <c r="I16" s="15"/>
    </row>
    <row r="17" spans="1:9" ht="26.25">
      <c r="A17" s="38" t="s">
        <v>84</v>
      </c>
      <c r="B17" s="44" t="s">
        <v>630</v>
      </c>
      <c r="C17" s="39" t="s">
        <v>65</v>
      </c>
      <c r="D17" s="40" t="s">
        <v>543</v>
      </c>
      <c r="E17" s="41" t="s">
        <v>17</v>
      </c>
      <c r="F17" s="42">
        <v>8</v>
      </c>
      <c r="G17" s="43"/>
      <c r="H17" s="43"/>
      <c r="I17" s="15"/>
    </row>
    <row r="18" spans="1:9" ht="26.25">
      <c r="A18" s="38" t="str">
        <f>A15&amp;".03"</f>
        <v>01.05.03</v>
      </c>
      <c r="B18" s="44" t="s">
        <v>630</v>
      </c>
      <c r="C18" s="39" t="s">
        <v>65</v>
      </c>
      <c r="D18" s="40" t="s">
        <v>199</v>
      </c>
      <c r="E18" s="41" t="s">
        <v>17</v>
      </c>
      <c r="F18" s="42">
        <v>20</v>
      </c>
      <c r="G18" s="43"/>
      <c r="H18" s="43"/>
      <c r="I18" s="15"/>
    </row>
    <row r="19" spans="1:9" ht="28.5">
      <c r="A19" s="38" t="str">
        <f>A15&amp;".04"</f>
        <v>01.05.04</v>
      </c>
      <c r="B19" s="44" t="s">
        <v>630</v>
      </c>
      <c r="C19" s="39" t="s">
        <v>65</v>
      </c>
      <c r="D19" s="40" t="s">
        <v>545</v>
      </c>
      <c r="E19" s="41" t="s">
        <v>17</v>
      </c>
      <c r="F19" s="42">
        <v>40</v>
      </c>
      <c r="G19" s="43"/>
      <c r="H19" s="43"/>
      <c r="I19" s="15"/>
    </row>
    <row r="20" spans="1:9" ht="28.5">
      <c r="A20" s="38" t="str">
        <f>A15&amp;".05"</f>
        <v>01.05.05</v>
      </c>
      <c r="B20" s="44" t="s">
        <v>630</v>
      </c>
      <c r="C20" s="39" t="s">
        <v>65</v>
      </c>
      <c r="D20" s="40" t="s">
        <v>546</v>
      </c>
      <c r="E20" s="41" t="s">
        <v>17</v>
      </c>
      <c r="F20" s="42">
        <v>80</v>
      </c>
      <c r="G20" s="43"/>
      <c r="H20" s="43"/>
      <c r="I20" s="15"/>
    </row>
    <row r="21" spans="1:9" ht="28.5">
      <c r="A21" s="38" t="str">
        <f>A15&amp;".06"</f>
        <v>01.05.06</v>
      </c>
      <c r="B21" s="44" t="s">
        <v>630</v>
      </c>
      <c r="C21" s="39" t="s">
        <v>65</v>
      </c>
      <c r="D21" s="40" t="s">
        <v>481</v>
      </c>
      <c r="E21" s="41" t="s">
        <v>17</v>
      </c>
      <c r="F21" s="42">
        <v>30</v>
      </c>
      <c r="G21" s="43"/>
      <c r="H21" s="43"/>
      <c r="I21" s="15"/>
    </row>
    <row r="22" spans="1:9" ht="28.5">
      <c r="A22" s="38" t="str">
        <f>A15&amp;".07"</f>
        <v>01.05.07</v>
      </c>
      <c r="B22" s="44" t="s">
        <v>630</v>
      </c>
      <c r="C22" s="39" t="s">
        <v>65</v>
      </c>
      <c r="D22" s="40" t="s">
        <v>544</v>
      </c>
      <c r="E22" s="41" t="s">
        <v>17</v>
      </c>
      <c r="F22" s="42">
        <v>88</v>
      </c>
      <c r="G22" s="43"/>
      <c r="H22" s="43"/>
      <c r="I22" s="15"/>
    </row>
    <row r="23" spans="1:8" ht="21.75" customHeight="1">
      <c r="A23" s="77" t="str">
        <f>A3&amp;"6"</f>
        <v>01.06</v>
      </c>
      <c r="B23" s="77"/>
      <c r="C23" s="77"/>
      <c r="D23" s="77" t="s">
        <v>74</v>
      </c>
      <c r="E23" s="77"/>
      <c r="F23" s="77"/>
      <c r="G23" s="77"/>
      <c r="H23" s="77"/>
    </row>
    <row r="24" spans="1:9" ht="28.5">
      <c r="A24" s="38" t="str">
        <f>A23&amp;".01"</f>
        <v>01.06.01</v>
      </c>
      <c r="B24" s="44" t="s">
        <v>630</v>
      </c>
      <c r="C24" s="39">
        <v>10527</v>
      </c>
      <c r="D24" s="40" t="s">
        <v>76</v>
      </c>
      <c r="E24" s="41" t="s">
        <v>77</v>
      </c>
      <c r="F24" s="42">
        <f>1.5*8*5*F8*2</f>
        <v>720</v>
      </c>
      <c r="G24" s="43"/>
      <c r="H24" s="43"/>
      <c r="I24" s="15"/>
    </row>
    <row r="25" spans="1:9" ht="31.5" customHeight="1">
      <c r="A25" s="38" t="str">
        <f>A23&amp;".02"</f>
        <v>01.06.02</v>
      </c>
      <c r="B25" s="44" t="s">
        <v>630</v>
      </c>
      <c r="C25" s="39">
        <v>6212</v>
      </c>
      <c r="D25" s="40" t="s">
        <v>78</v>
      </c>
      <c r="E25" s="41" t="s">
        <v>18</v>
      </c>
      <c r="F25" s="42">
        <v>120</v>
      </c>
      <c r="G25" s="43"/>
      <c r="H25" s="43"/>
      <c r="I25" s="15"/>
    </row>
    <row r="26" spans="1:9" ht="26.25" customHeight="1">
      <c r="A26" s="38" t="str">
        <f>A23&amp;".03"</f>
        <v>01.06.03</v>
      </c>
      <c r="B26" s="44" t="s">
        <v>630</v>
      </c>
      <c r="C26" s="39">
        <v>97064</v>
      </c>
      <c r="D26" s="40" t="s">
        <v>79</v>
      </c>
      <c r="E26" s="41" t="s">
        <v>18</v>
      </c>
      <c r="F26" s="42">
        <f>F24</f>
        <v>720</v>
      </c>
      <c r="G26" s="43"/>
      <c r="H26" s="43"/>
      <c r="I26" s="15"/>
    </row>
    <row r="27" spans="1:8" ht="21.75" customHeight="1">
      <c r="A27" s="35" t="s">
        <v>57</v>
      </c>
      <c r="B27" s="35"/>
      <c r="C27" s="35"/>
      <c r="D27" s="36" t="s">
        <v>587</v>
      </c>
      <c r="E27" s="36"/>
      <c r="F27" s="36"/>
      <c r="G27" s="36"/>
      <c r="H27" s="37"/>
    </row>
    <row r="28" spans="1:8" ht="21.75" customHeight="1">
      <c r="A28" s="77" t="str">
        <f>A27&amp;"1"</f>
        <v>02.01</v>
      </c>
      <c r="B28" s="77"/>
      <c r="C28" s="77"/>
      <c r="D28" s="77" t="s">
        <v>200</v>
      </c>
      <c r="E28" s="77"/>
      <c r="F28" s="77"/>
      <c r="G28" s="77"/>
      <c r="H28" s="77"/>
    </row>
    <row r="29" spans="1:9" ht="43.5" customHeight="1">
      <c r="A29" s="38" t="str">
        <f>A$28&amp;".01"</f>
        <v>02.01.01</v>
      </c>
      <c r="B29" s="44" t="s">
        <v>630</v>
      </c>
      <c r="C29" s="39">
        <v>89957</v>
      </c>
      <c r="D29" s="38" t="s">
        <v>201</v>
      </c>
      <c r="E29" s="41" t="s">
        <v>12</v>
      </c>
      <c r="F29" s="42">
        <v>3</v>
      </c>
      <c r="G29" s="43"/>
      <c r="H29" s="43"/>
      <c r="I29" s="15"/>
    </row>
    <row r="30" spans="1:9" ht="43.5" customHeight="1">
      <c r="A30" s="38" t="str">
        <f>A$28&amp;".02"</f>
        <v>02.01.02</v>
      </c>
      <c r="B30" s="44" t="s">
        <v>630</v>
      </c>
      <c r="C30" s="39">
        <v>89987</v>
      </c>
      <c r="D30" s="38" t="s">
        <v>202</v>
      </c>
      <c r="E30" s="41" t="s">
        <v>12</v>
      </c>
      <c r="F30" s="42">
        <v>3</v>
      </c>
      <c r="G30" s="43"/>
      <c r="H30" s="43"/>
      <c r="I30" s="15"/>
    </row>
    <row r="31" spans="1:9" ht="28.5">
      <c r="A31" s="38" t="str">
        <f>A$28&amp;".03"</f>
        <v>02.01.03</v>
      </c>
      <c r="B31" s="44" t="s">
        <v>630</v>
      </c>
      <c r="C31" s="39">
        <v>94648</v>
      </c>
      <c r="D31" s="40" t="s">
        <v>203</v>
      </c>
      <c r="E31" s="41" t="s">
        <v>18</v>
      </c>
      <c r="F31" s="42">
        <v>90</v>
      </c>
      <c r="G31" s="43"/>
      <c r="H31" s="43"/>
      <c r="I31" s="15"/>
    </row>
    <row r="32" spans="1:9" ht="26.25">
      <c r="A32" s="77" t="str">
        <f>A27&amp;"2"</f>
        <v>02.02</v>
      </c>
      <c r="B32" s="77"/>
      <c r="C32" s="77"/>
      <c r="D32" s="77" t="s">
        <v>204</v>
      </c>
      <c r="E32" s="77"/>
      <c r="F32" s="77"/>
      <c r="G32" s="77"/>
      <c r="H32" s="43"/>
      <c r="I32" s="15"/>
    </row>
    <row r="33" spans="1:9" ht="28.5">
      <c r="A33" s="38" t="str">
        <f>A32&amp;".01"</f>
        <v>02.02.01</v>
      </c>
      <c r="B33" s="44" t="s">
        <v>630</v>
      </c>
      <c r="C33" s="39">
        <v>101804</v>
      </c>
      <c r="D33" s="40" t="s">
        <v>206</v>
      </c>
      <c r="E33" s="41" t="s">
        <v>12</v>
      </c>
      <c r="F33" s="45">
        <v>1</v>
      </c>
      <c r="G33" s="43"/>
      <c r="H33" s="43"/>
      <c r="I33" s="15"/>
    </row>
    <row r="34" spans="1:9" ht="28.5">
      <c r="A34" s="38" t="str">
        <f>A32&amp;".02"</f>
        <v>02.02.02</v>
      </c>
      <c r="B34" s="44" t="s">
        <v>630</v>
      </c>
      <c r="C34" s="39">
        <v>11301</v>
      </c>
      <c r="D34" s="40" t="s">
        <v>205</v>
      </c>
      <c r="E34" s="41" t="s">
        <v>12</v>
      </c>
      <c r="F34" s="45">
        <v>1</v>
      </c>
      <c r="G34" s="43"/>
      <c r="H34" s="43"/>
      <c r="I34" s="15"/>
    </row>
    <row r="35" spans="1:9" ht="28.5">
      <c r="A35" s="38" t="str">
        <f>A32&amp;".03"</f>
        <v>02.02.03</v>
      </c>
      <c r="B35" s="44" t="s">
        <v>630</v>
      </c>
      <c r="C35" s="39">
        <v>103007</v>
      </c>
      <c r="D35" s="40" t="s">
        <v>207</v>
      </c>
      <c r="E35" s="41" t="s">
        <v>12</v>
      </c>
      <c r="F35" s="45">
        <v>3</v>
      </c>
      <c r="G35" s="43"/>
      <c r="H35" s="43"/>
      <c r="I35" s="15"/>
    </row>
    <row r="36" spans="1:9" ht="26.25">
      <c r="A36" s="38" t="str">
        <f>A32&amp;".04"</f>
        <v>02.02.04</v>
      </c>
      <c r="B36" s="44" t="s">
        <v>630</v>
      </c>
      <c r="C36" s="39">
        <v>89711</v>
      </c>
      <c r="D36" s="40" t="s">
        <v>208</v>
      </c>
      <c r="E36" s="41" t="s">
        <v>18</v>
      </c>
      <c r="F36" s="45">
        <v>90</v>
      </c>
      <c r="G36" s="43"/>
      <c r="H36" s="43"/>
      <c r="I36" s="15"/>
    </row>
    <row r="37" spans="1:9" ht="26.25">
      <c r="A37" s="38" t="str">
        <f>A32&amp;".05"</f>
        <v>02.02.05</v>
      </c>
      <c r="B37" s="44" t="s">
        <v>630</v>
      </c>
      <c r="C37" s="39">
        <v>89512</v>
      </c>
      <c r="D37" s="40" t="s">
        <v>238</v>
      </c>
      <c r="E37" s="41" t="s">
        <v>18</v>
      </c>
      <c r="F37" s="45">
        <v>54</v>
      </c>
      <c r="G37" s="43"/>
      <c r="H37" s="43"/>
      <c r="I37" s="15"/>
    </row>
    <row r="38" spans="1:8" ht="21.75" customHeight="1">
      <c r="A38" s="77" t="str">
        <f>A27&amp;"3"</f>
        <v>02.03</v>
      </c>
      <c r="B38" s="77"/>
      <c r="C38" s="77"/>
      <c r="D38" s="77" t="s">
        <v>222</v>
      </c>
      <c r="E38" s="77"/>
      <c r="F38" s="77"/>
      <c r="G38" s="77"/>
      <c r="H38" s="43"/>
    </row>
    <row r="39" spans="1:8" ht="30.75" customHeight="1">
      <c r="A39" s="38" t="str">
        <f>A38&amp;".01"</f>
        <v>02.03.01</v>
      </c>
      <c r="B39" s="44" t="s">
        <v>48</v>
      </c>
      <c r="C39" s="39" t="str">
        <f>COMPOSIÇÕES!B109</f>
        <v>CP 010</v>
      </c>
      <c r="D39" s="40" t="str">
        <f>COMPOSIÇÕES!C109</f>
        <v>BANCADA DE GRANITO CINZA POLIDO, DE 270 X 70 CM , PARA PIA - FORNECIMENTO E INSTALAÇÃO</v>
      </c>
      <c r="E39" s="41" t="str">
        <f>COMPOSIÇÕES!D109</f>
        <v>M2</v>
      </c>
      <c r="F39" s="45">
        <v>1</v>
      </c>
      <c r="G39" s="43"/>
      <c r="H39" s="43"/>
    </row>
    <row r="40" spans="1:8" ht="32.25" customHeight="1">
      <c r="A40" s="38" t="str">
        <f>A38&amp;".02"</f>
        <v>02.03.02</v>
      </c>
      <c r="B40" s="44" t="s">
        <v>630</v>
      </c>
      <c r="C40" s="39">
        <v>86936</v>
      </c>
      <c r="D40" s="40" t="s">
        <v>236</v>
      </c>
      <c r="E40" s="41" t="s">
        <v>12</v>
      </c>
      <c r="F40" s="45">
        <v>1</v>
      </c>
      <c r="G40" s="43"/>
      <c r="H40" s="43"/>
    </row>
    <row r="41" spans="1:8" ht="30.75" customHeight="1">
      <c r="A41" s="38" t="str">
        <f>A38&amp;".03"</f>
        <v>02.03.03</v>
      </c>
      <c r="B41" s="44" t="s">
        <v>630</v>
      </c>
      <c r="C41" s="39">
        <v>100853</v>
      </c>
      <c r="D41" s="40" t="s">
        <v>237</v>
      </c>
      <c r="E41" s="41" t="s">
        <v>12</v>
      </c>
      <c r="F41" s="45">
        <v>1</v>
      </c>
      <c r="G41" s="43"/>
      <c r="H41" s="43"/>
    </row>
    <row r="42" spans="1:9" ht="26.25">
      <c r="A42" s="35" t="s">
        <v>58</v>
      </c>
      <c r="B42" s="35"/>
      <c r="C42" s="35"/>
      <c r="D42" s="36" t="s">
        <v>586</v>
      </c>
      <c r="E42" s="36"/>
      <c r="F42" s="36"/>
      <c r="G42" s="36"/>
      <c r="H42" s="37"/>
      <c r="I42" s="15"/>
    </row>
    <row r="43" spans="1:8" ht="21.75" customHeight="1">
      <c r="A43" s="77" t="str">
        <f>A42&amp;"1"</f>
        <v>03.01</v>
      </c>
      <c r="B43" s="77"/>
      <c r="C43" s="77"/>
      <c r="D43" s="77" t="s">
        <v>198</v>
      </c>
      <c r="E43" s="77"/>
      <c r="F43" s="77"/>
      <c r="G43" s="77"/>
      <c r="H43" s="77"/>
    </row>
    <row r="44" spans="1:9" ht="28.5">
      <c r="A44" s="38" t="str">
        <f>A43&amp;".01"</f>
        <v>03.01.01</v>
      </c>
      <c r="B44" s="44" t="s">
        <v>48</v>
      </c>
      <c r="C44" s="39" t="str">
        <f>'[5]COMPOSIÇÕES (2)'!B15</f>
        <v>CP 002</v>
      </c>
      <c r="D44" s="40" t="s">
        <v>182</v>
      </c>
      <c r="E44" s="41" t="s">
        <v>90</v>
      </c>
      <c r="F44" s="42">
        <f>(12*3+21.5)*2*0.8</f>
        <v>92</v>
      </c>
      <c r="G44" s="43"/>
      <c r="H44" s="43"/>
      <c r="I44" s="15"/>
    </row>
    <row r="45" spans="1:9" ht="28.5">
      <c r="A45" s="38" t="str">
        <f>A$43&amp;".02"</f>
        <v>03.01.02</v>
      </c>
      <c r="B45" s="44" t="s">
        <v>48</v>
      </c>
      <c r="C45" s="39" t="str">
        <f>'[5]COMPOSIÇÕES (2)'!B15</f>
        <v>CP 002</v>
      </c>
      <c r="D45" s="40" t="s">
        <v>108</v>
      </c>
      <c r="E45" s="41" t="s">
        <v>90</v>
      </c>
      <c r="F45" s="42">
        <f>8*2*0.8</f>
        <v>12.8</v>
      </c>
      <c r="G45" s="43"/>
      <c r="H45" s="43"/>
      <c r="I45" s="15"/>
    </row>
    <row r="46" spans="1:9" ht="28.5">
      <c r="A46" s="38" t="str">
        <f>A$43&amp;".03"</f>
        <v>03.01.03</v>
      </c>
      <c r="B46" s="44" t="s">
        <v>630</v>
      </c>
      <c r="C46" s="39">
        <v>96360</v>
      </c>
      <c r="D46" s="40" t="s">
        <v>219</v>
      </c>
      <c r="E46" s="41" t="s">
        <v>90</v>
      </c>
      <c r="F46" s="42">
        <f>22.5*6*2</f>
        <v>270</v>
      </c>
      <c r="G46" s="43"/>
      <c r="H46" s="43"/>
      <c r="I46" s="15"/>
    </row>
    <row r="47" spans="1:9" ht="26.25">
      <c r="A47" s="38" t="str">
        <f>A$43&amp;".04"</f>
        <v>03.01.04</v>
      </c>
      <c r="B47" s="44" t="s">
        <v>630</v>
      </c>
      <c r="C47" s="39">
        <v>88497</v>
      </c>
      <c r="D47" s="40" t="s">
        <v>97</v>
      </c>
      <c r="E47" s="41" t="s">
        <v>90</v>
      </c>
      <c r="F47" s="42">
        <f>F46*2</f>
        <v>540</v>
      </c>
      <c r="G47" s="43"/>
      <c r="H47" s="43"/>
      <c r="I47" s="15"/>
    </row>
    <row r="48" spans="1:9" ht="28.5">
      <c r="A48" s="38" t="str">
        <f>A$43&amp;".05"</f>
        <v>03.01.05</v>
      </c>
      <c r="B48" s="44" t="s">
        <v>630</v>
      </c>
      <c r="C48" s="39">
        <v>88416</v>
      </c>
      <c r="D48" s="40" t="s">
        <v>96</v>
      </c>
      <c r="E48" s="41" t="s">
        <v>90</v>
      </c>
      <c r="F48" s="42">
        <f>(F44+F45+F86+F87)*2</f>
        <v>2144.7</v>
      </c>
      <c r="G48" s="43"/>
      <c r="H48" s="43"/>
      <c r="I48" s="15"/>
    </row>
    <row r="49" spans="1:9" ht="28.5">
      <c r="A49" s="38" t="str">
        <f>A$43&amp;".06"</f>
        <v>03.01.06</v>
      </c>
      <c r="B49" s="44" t="s">
        <v>630</v>
      </c>
      <c r="C49" s="39">
        <v>88489</v>
      </c>
      <c r="D49" s="40" t="s">
        <v>98</v>
      </c>
      <c r="E49" s="41" t="s">
        <v>90</v>
      </c>
      <c r="F49" s="42">
        <f>F47</f>
        <v>540</v>
      </c>
      <c r="G49" s="43"/>
      <c r="H49" s="43"/>
      <c r="I49" s="15"/>
    </row>
    <row r="50" spans="1:8" ht="21.75" customHeight="1">
      <c r="A50" s="35" t="s">
        <v>60</v>
      </c>
      <c r="B50" s="35"/>
      <c r="C50" s="35"/>
      <c r="D50" s="36" t="s">
        <v>584</v>
      </c>
      <c r="E50" s="36"/>
      <c r="F50" s="36"/>
      <c r="G50" s="36"/>
      <c r="H50" s="37"/>
    </row>
    <row r="51" spans="1:8" ht="21.75" customHeight="1">
      <c r="A51" s="77" t="str">
        <f>A50&amp;"1"</f>
        <v>04.01</v>
      </c>
      <c r="B51" s="77"/>
      <c r="C51" s="77"/>
      <c r="D51" s="77"/>
      <c r="E51" s="77"/>
      <c r="F51" s="77"/>
      <c r="G51" s="77"/>
      <c r="H51" s="77"/>
    </row>
    <row r="52" spans="1:8" ht="52.5" customHeight="1">
      <c r="A52" s="38" t="str">
        <f>A51&amp;".01"</f>
        <v>04.01.01</v>
      </c>
      <c r="B52" s="44" t="s">
        <v>48</v>
      </c>
      <c r="C52" s="39" t="str">
        <f>COMPOSIÇÕES!B2</f>
        <v>CP 001</v>
      </c>
      <c r="D52" s="40" t="str">
        <f>COMPOSIÇÕES!C2</f>
        <v>JANELA DE AÇO TIPO BASCULANTE - COM BATENTE, FERRAGENS, PINTURA ANTICORROSIVA, VIDRO, ACABAMENTO, ALIZAR E CONTRAMARCO. FORNECIMENTO E INSTALAÇÃO</v>
      </c>
      <c r="E52" s="41" t="s">
        <v>90</v>
      </c>
      <c r="F52" s="42">
        <f>6*1.2*4</f>
        <v>28.799999999999997</v>
      </c>
      <c r="G52" s="43"/>
      <c r="H52" s="43"/>
    </row>
    <row r="53" spans="1:9" ht="44.25" customHeight="1">
      <c r="A53" s="38" t="str">
        <f>A51&amp;".02"</f>
        <v>04.01.02</v>
      </c>
      <c r="B53" s="44" t="s">
        <v>48</v>
      </c>
      <c r="C53" s="39" t="str">
        <f>COMPOSIÇÕES!B745</f>
        <v>CP 044</v>
      </c>
      <c r="D53" s="40" t="str">
        <f>COMPOSIÇÕES!C745</f>
        <v>PF5 - PORTAO DE CORRER EM CHAPA TIPO PAINEL LAMBRIL QUADRADO, COM REQUADRO, ACABAMENTO NATURAL, COM TRILHOS E ROLDANAS -  300x600CM</v>
      </c>
      <c r="E53" s="41" t="str">
        <f>COMPOSIÇÕES!D745</f>
        <v>Unid</v>
      </c>
      <c r="F53" s="42">
        <v>3</v>
      </c>
      <c r="G53" s="43"/>
      <c r="H53" s="43"/>
      <c r="I53" s="15"/>
    </row>
    <row r="54" spans="1:9" ht="44.25" customHeight="1">
      <c r="A54" s="38" t="str">
        <f>A51&amp;".03"</f>
        <v>04.01.03</v>
      </c>
      <c r="B54" s="44" t="s">
        <v>48</v>
      </c>
      <c r="C54" s="39" t="str">
        <f>COMPOSIÇÕES!B750</f>
        <v>CP 045</v>
      </c>
      <c r="D54" s="40" t="str">
        <f>COMPOSIÇÕES!C750</f>
        <v>PF6 - PORTAO DE CORRER EM CHAPA TIPO PAINEL LAMBRIL QUADRADO, COM REQUADRO, ACABAMENTO NATURAL, COM TRILHOS E ROLDANAS -  280x360CM</v>
      </c>
      <c r="E54" s="41" t="str">
        <f>COMPOSIÇÕES!D750</f>
        <v>Unid</v>
      </c>
      <c r="F54" s="42">
        <v>3</v>
      </c>
      <c r="G54" s="43"/>
      <c r="H54" s="43"/>
      <c r="I54" s="15"/>
    </row>
    <row r="55" spans="1:9" ht="44.25" customHeight="1">
      <c r="A55" s="93" t="str">
        <f>A51&amp;".04"</f>
        <v>04.01.04</v>
      </c>
      <c r="B55" s="98" t="s">
        <v>48</v>
      </c>
      <c r="C55" s="95" t="str">
        <f>COMPOSIÇÕES!B768</f>
        <v>CP 047</v>
      </c>
      <c r="D55" s="96" t="str">
        <f>COMPOSIÇÕES!C768</f>
        <v>PF8 - PORTAO DE CORRER DE ACESSO A UNIDADE FEITA CONFORME PADRÃO EXISTENTE, COM REQUADRO, ACABAMENTO NATURAL, COM TRILHOS ROLDANAS E MOTOR -  350x300CM</v>
      </c>
      <c r="E55" s="99" t="str">
        <f>COMPOSIÇÕES!D762</f>
        <v>Unid</v>
      </c>
      <c r="F55" s="100">
        <v>1</v>
      </c>
      <c r="G55" s="43"/>
      <c r="H55" s="43"/>
      <c r="I55" s="15"/>
    </row>
    <row r="56" spans="1:9" ht="44.25" customHeight="1">
      <c r="A56" s="93" t="str">
        <f>A51&amp;".05"</f>
        <v>04.01.05</v>
      </c>
      <c r="B56" s="98" t="s">
        <v>48</v>
      </c>
      <c r="C56" s="95" t="str">
        <f>COMPOSIÇÕES!B774</f>
        <v>CP 048</v>
      </c>
      <c r="D56" s="96" t="str">
        <f>COMPOSIÇÕES!C774</f>
        <v>PF9 - PORTAO DE CORRER DE ACESSO A UNIDADE FEITA CONFORME PADRÃO EXISTENTE, COM REQUADRO, ACABAMENTO NATURAL, COM TRILHOS ROLDANAS E MOTOR -  400x300CM</v>
      </c>
      <c r="E56" s="99" t="str">
        <f>COMPOSIÇÕES!D774</f>
        <v>Unid</v>
      </c>
      <c r="F56" s="100">
        <v>1</v>
      </c>
      <c r="G56" s="43"/>
      <c r="H56" s="43"/>
      <c r="I56" s="15"/>
    </row>
    <row r="57" spans="1:8" ht="21.75" customHeight="1">
      <c r="A57" s="35" t="s">
        <v>61</v>
      </c>
      <c r="B57" s="35"/>
      <c r="C57" s="35"/>
      <c r="D57" s="36" t="s">
        <v>585</v>
      </c>
      <c r="E57" s="36"/>
      <c r="F57" s="36"/>
      <c r="G57" s="36"/>
      <c r="H57" s="37"/>
    </row>
    <row r="58" spans="1:8" ht="21.75" customHeight="1">
      <c r="A58" s="77" t="str">
        <f>A57&amp;"1"</f>
        <v>05.01</v>
      </c>
      <c r="B58" s="77"/>
      <c r="C58" s="77"/>
      <c r="D58" s="77" t="s">
        <v>552</v>
      </c>
      <c r="E58" s="77"/>
      <c r="F58" s="77"/>
      <c r="G58" s="77"/>
      <c r="H58" s="77"/>
    </row>
    <row r="59" spans="1:8" ht="31.5" customHeight="1">
      <c r="A59" s="38" t="str">
        <f>A58&amp;".01"</f>
        <v>05.01.01</v>
      </c>
      <c r="B59" s="44" t="s">
        <v>630</v>
      </c>
      <c r="C59" s="44">
        <v>92395</v>
      </c>
      <c r="D59" s="40" t="s">
        <v>192</v>
      </c>
      <c r="E59" s="41" t="s">
        <v>16</v>
      </c>
      <c r="F59" s="42">
        <v>532</v>
      </c>
      <c r="G59" s="43"/>
      <c r="H59" s="43"/>
    </row>
    <row r="60" spans="1:8" ht="31.5" customHeight="1">
      <c r="A60" s="38" t="str">
        <f>A58&amp;".02"</f>
        <v>05.01.02</v>
      </c>
      <c r="B60" s="44" t="s">
        <v>630</v>
      </c>
      <c r="C60" s="44">
        <v>100573</v>
      </c>
      <c r="D60" s="40" t="s">
        <v>194</v>
      </c>
      <c r="E60" s="41" t="s">
        <v>66</v>
      </c>
      <c r="F60" s="42">
        <f>F59*0.1</f>
        <v>53.2</v>
      </c>
      <c r="G60" s="43"/>
      <c r="H60" s="43"/>
    </row>
    <row r="61" spans="1:8" ht="31.5" customHeight="1">
      <c r="A61" s="38" t="str">
        <f>A58&amp;".03"</f>
        <v>05.01.03</v>
      </c>
      <c r="B61" s="44" t="s">
        <v>630</v>
      </c>
      <c r="C61" s="44">
        <v>101118</v>
      </c>
      <c r="D61" s="40" t="s">
        <v>195</v>
      </c>
      <c r="E61" s="41" t="s">
        <v>66</v>
      </c>
      <c r="F61" s="42">
        <f>F59*0.2</f>
        <v>106.4</v>
      </c>
      <c r="G61" s="43"/>
      <c r="H61" s="43"/>
    </row>
    <row r="62" spans="1:8" ht="31.5" customHeight="1">
      <c r="A62" s="77" t="str">
        <f>A57&amp;"2"</f>
        <v>05.02</v>
      </c>
      <c r="B62" s="77"/>
      <c r="C62" s="77"/>
      <c r="D62" s="77" t="s">
        <v>104</v>
      </c>
      <c r="E62" s="77"/>
      <c r="F62" s="77"/>
      <c r="G62" s="77"/>
      <c r="H62" s="77"/>
    </row>
    <row r="63" spans="1:8" ht="31.5" customHeight="1">
      <c r="A63" s="38" t="str">
        <f>A62&amp;".01"</f>
        <v>05.02.01</v>
      </c>
      <c r="B63" s="44" t="s">
        <v>630</v>
      </c>
      <c r="C63" s="44">
        <v>101118</v>
      </c>
      <c r="D63" s="40" t="s">
        <v>195</v>
      </c>
      <c r="E63" s="41" t="s">
        <v>66</v>
      </c>
      <c r="F63" s="42">
        <f>F65*0.1</f>
        <v>18.25</v>
      </c>
      <c r="G63" s="43"/>
      <c r="H63" s="43"/>
    </row>
    <row r="64" spans="1:8" ht="31.5" customHeight="1">
      <c r="A64" s="38" t="str">
        <f>A62&amp;".02"</f>
        <v>05.02.02</v>
      </c>
      <c r="B64" s="44" t="s">
        <v>630</v>
      </c>
      <c r="C64" s="44">
        <v>100573</v>
      </c>
      <c r="D64" s="40" t="s">
        <v>194</v>
      </c>
      <c r="E64" s="41" t="s">
        <v>66</v>
      </c>
      <c r="F64" s="42">
        <f>F65*0.15</f>
        <v>27.375</v>
      </c>
      <c r="G64" s="43"/>
      <c r="H64" s="43"/>
    </row>
    <row r="65" spans="1:8" ht="31.5" customHeight="1">
      <c r="A65" s="38" t="str">
        <f>A62&amp;".03"</f>
        <v>05.02.03</v>
      </c>
      <c r="B65" s="44" t="s">
        <v>630</v>
      </c>
      <c r="C65" s="39">
        <v>94993</v>
      </c>
      <c r="D65" s="40" t="s">
        <v>103</v>
      </c>
      <c r="E65" s="41" t="s">
        <v>16</v>
      </c>
      <c r="F65" s="42">
        <v>182.5</v>
      </c>
      <c r="G65" s="43"/>
      <c r="H65" s="43"/>
    </row>
    <row r="66" spans="1:8" ht="31.5" customHeight="1">
      <c r="A66" s="77" t="str">
        <f>A57&amp;"3"</f>
        <v>05.03</v>
      </c>
      <c r="B66" s="77"/>
      <c r="C66" s="77"/>
      <c r="D66" s="77" t="s">
        <v>553</v>
      </c>
      <c r="E66" s="77"/>
      <c r="F66" s="77"/>
      <c r="G66" s="77"/>
      <c r="H66" s="77"/>
    </row>
    <row r="67" spans="1:8" ht="51" customHeight="1">
      <c r="A67" s="38" t="str">
        <f>A66&amp;".01"</f>
        <v>05.03.01</v>
      </c>
      <c r="B67" s="44" t="s">
        <v>630</v>
      </c>
      <c r="C67" s="44">
        <v>96391</v>
      </c>
      <c r="D67" s="40" t="s">
        <v>554</v>
      </c>
      <c r="E67" s="41" t="s">
        <v>16</v>
      </c>
      <c r="F67" s="42">
        <v>900</v>
      </c>
      <c r="G67" s="43"/>
      <c r="H67" s="43"/>
    </row>
    <row r="68" spans="1:8" ht="31.5" customHeight="1">
      <c r="A68" s="38" t="str">
        <f>A66&amp;".02"</f>
        <v>05.03.02</v>
      </c>
      <c r="B68" s="44" t="s">
        <v>630</v>
      </c>
      <c r="C68" s="44">
        <v>97111</v>
      </c>
      <c r="D68" s="40" t="s">
        <v>556</v>
      </c>
      <c r="E68" s="41" t="s">
        <v>16</v>
      </c>
      <c r="F68" s="42">
        <f>F67</f>
        <v>900</v>
      </c>
      <c r="G68" s="43"/>
      <c r="H68" s="43"/>
    </row>
    <row r="69" spans="1:8" ht="31.5" customHeight="1">
      <c r="A69" s="38" t="str">
        <f>A66&amp;".03"</f>
        <v>05.03.03</v>
      </c>
      <c r="B69" s="44" t="s">
        <v>630</v>
      </c>
      <c r="C69" s="44">
        <v>97113</v>
      </c>
      <c r="D69" s="40" t="s">
        <v>555</v>
      </c>
      <c r="E69" s="41" t="s">
        <v>16</v>
      </c>
      <c r="F69" s="42">
        <f>F67</f>
        <v>900</v>
      </c>
      <c r="G69" s="43"/>
      <c r="H69" s="43"/>
    </row>
    <row r="70" spans="1:8" ht="31.5" customHeight="1">
      <c r="A70" s="38" t="str">
        <f>A66&amp;".04"</f>
        <v>05.03.04</v>
      </c>
      <c r="B70" s="44" t="s">
        <v>630</v>
      </c>
      <c r="C70" s="44">
        <v>94267</v>
      </c>
      <c r="D70" s="40" t="s">
        <v>196</v>
      </c>
      <c r="E70" s="41" t="s">
        <v>18</v>
      </c>
      <c r="F70" s="42">
        <v>87</v>
      </c>
      <c r="G70" s="43"/>
      <c r="H70" s="43"/>
    </row>
    <row r="71" spans="1:8" ht="31.5" customHeight="1">
      <c r="A71" s="38" t="str">
        <f>A66&amp;".05"</f>
        <v>05.03.05</v>
      </c>
      <c r="B71" s="44" t="s">
        <v>630</v>
      </c>
      <c r="C71" s="44">
        <v>94268</v>
      </c>
      <c r="D71" s="40" t="s">
        <v>550</v>
      </c>
      <c r="E71" s="41" t="s">
        <v>18</v>
      </c>
      <c r="F71" s="42">
        <v>12</v>
      </c>
      <c r="G71" s="43"/>
      <c r="H71" s="43"/>
    </row>
    <row r="72" spans="1:8" ht="31.5" customHeight="1">
      <c r="A72" s="38" t="str">
        <f>A66&amp;".06"</f>
        <v>05.03.06</v>
      </c>
      <c r="B72" s="44" t="s">
        <v>630</v>
      </c>
      <c r="C72" s="44">
        <v>101118</v>
      </c>
      <c r="D72" s="40" t="s">
        <v>195</v>
      </c>
      <c r="E72" s="41" t="s">
        <v>66</v>
      </c>
      <c r="F72" s="42">
        <f>F68*0.2*0.2</f>
        <v>36</v>
      </c>
      <c r="G72" s="43"/>
      <c r="H72" s="43"/>
    </row>
    <row r="73" spans="1:8" ht="31.5" customHeight="1">
      <c r="A73" s="77" t="str">
        <f>A57&amp;"4"</f>
        <v>05.04</v>
      </c>
      <c r="B73" s="77"/>
      <c r="C73" s="77"/>
      <c r="D73" s="77" t="s">
        <v>551</v>
      </c>
      <c r="E73" s="77"/>
      <c r="F73" s="77"/>
      <c r="G73" s="77"/>
      <c r="H73" s="77"/>
    </row>
    <row r="74" spans="1:8" ht="31.5" customHeight="1">
      <c r="A74" s="38" t="str">
        <f>A73&amp;".01"</f>
        <v>05.04.01</v>
      </c>
      <c r="B74" s="44" t="s">
        <v>630</v>
      </c>
      <c r="C74" s="44">
        <v>95995</v>
      </c>
      <c r="D74" s="40" t="s">
        <v>619</v>
      </c>
      <c r="E74" s="41" t="s">
        <v>66</v>
      </c>
      <c r="F74" s="42">
        <f>322.5*0.1</f>
        <v>32.25</v>
      </c>
      <c r="G74" s="43"/>
      <c r="H74" s="43"/>
    </row>
    <row r="75" spans="1:8" ht="31.5" customHeight="1">
      <c r="A75" s="38" t="str">
        <f>A73&amp;".02"</f>
        <v>05.04.02</v>
      </c>
      <c r="B75" s="44" t="s">
        <v>630</v>
      </c>
      <c r="C75" s="44">
        <v>95996</v>
      </c>
      <c r="D75" s="40" t="s">
        <v>620</v>
      </c>
      <c r="E75" s="41" t="s">
        <v>66</v>
      </c>
      <c r="F75" s="42">
        <f>322.5*0.07</f>
        <v>22.575000000000003</v>
      </c>
      <c r="G75" s="43"/>
      <c r="H75" s="43"/>
    </row>
    <row r="76" spans="1:8" ht="31.5" customHeight="1">
      <c r="A76" s="38" t="str">
        <f>A73&amp;".03"</f>
        <v>05.04.03</v>
      </c>
      <c r="B76" s="44" t="s">
        <v>630</v>
      </c>
      <c r="C76" s="44">
        <v>94267</v>
      </c>
      <c r="D76" s="40" t="s">
        <v>196</v>
      </c>
      <c r="E76" s="41" t="s">
        <v>18</v>
      </c>
      <c r="F76" s="42">
        <v>175</v>
      </c>
      <c r="G76" s="43"/>
      <c r="H76" s="43"/>
    </row>
    <row r="77" spans="1:8" ht="31.5" customHeight="1">
      <c r="A77" s="38" t="str">
        <f>A73&amp;".04"</f>
        <v>05.04.04</v>
      </c>
      <c r="B77" s="44" t="s">
        <v>630</v>
      </c>
      <c r="C77" s="44">
        <v>94268</v>
      </c>
      <c r="D77" s="40" t="s">
        <v>550</v>
      </c>
      <c r="E77" s="41" t="s">
        <v>18</v>
      </c>
      <c r="F77" s="42">
        <v>30</v>
      </c>
      <c r="G77" s="43"/>
      <c r="H77" s="43"/>
    </row>
    <row r="78" spans="1:8" ht="31.5" customHeight="1">
      <c r="A78" s="38" t="str">
        <f>A73&amp;".05"</f>
        <v>05.04.05</v>
      </c>
      <c r="B78" s="44" t="s">
        <v>630</v>
      </c>
      <c r="C78" s="44">
        <v>100573</v>
      </c>
      <c r="D78" s="40" t="s">
        <v>194</v>
      </c>
      <c r="E78" s="41" t="s">
        <v>66</v>
      </c>
      <c r="F78" s="42">
        <f>F74</f>
        <v>32.25</v>
      </c>
      <c r="G78" s="43"/>
      <c r="H78" s="43"/>
    </row>
    <row r="79" spans="1:8" ht="31.5" customHeight="1">
      <c r="A79" s="38" t="str">
        <f>A73&amp;".06"</f>
        <v>05.04.06</v>
      </c>
      <c r="B79" s="44" t="s">
        <v>630</v>
      </c>
      <c r="C79" s="44">
        <v>101118</v>
      </c>
      <c r="D79" s="40" t="s">
        <v>195</v>
      </c>
      <c r="E79" s="41" t="s">
        <v>66</v>
      </c>
      <c r="F79" s="42">
        <f>F74*0.2</f>
        <v>6.45</v>
      </c>
      <c r="G79" s="43"/>
      <c r="H79" s="43"/>
    </row>
    <row r="80" spans="1:8" ht="31.5" customHeight="1">
      <c r="A80" s="77" t="str">
        <f>A57&amp;"4"</f>
        <v>05.04</v>
      </c>
      <c r="B80" s="77"/>
      <c r="C80" s="77"/>
      <c r="D80" s="77" t="s">
        <v>45</v>
      </c>
      <c r="E80" s="77"/>
      <c r="F80" s="77"/>
      <c r="G80" s="77"/>
      <c r="H80" s="77"/>
    </row>
    <row r="81" spans="1:8" ht="31.5" customHeight="1">
      <c r="A81" s="38" t="str">
        <f>A80&amp;".01"</f>
        <v>05.04.01</v>
      </c>
      <c r="B81" s="44" t="s">
        <v>48</v>
      </c>
      <c r="C81" s="39" t="str">
        <f>COMPOSIÇÕES!B101</f>
        <v>CP 009</v>
      </c>
      <c r="D81" s="40" t="str">
        <f>COMPOSIÇÕES!C101</f>
        <v>TRANSPORTE DE ENTULHO EM CAÇAMBAS DE ENTULHO 5M³ (TAXAS SLU INCLUSAS)</v>
      </c>
      <c r="E81" s="41" t="s">
        <v>12</v>
      </c>
      <c r="F81" s="45">
        <f>ROUNDUP(((F63+F61+F72+F79)*1.3)/5,0)</f>
        <v>44</v>
      </c>
      <c r="G81" s="43"/>
      <c r="H81" s="43"/>
    </row>
    <row r="82" spans="1:9" ht="26.25">
      <c r="A82" s="35" t="s">
        <v>85</v>
      </c>
      <c r="B82" s="35"/>
      <c r="C82" s="35"/>
      <c r="D82" s="36" t="s">
        <v>583</v>
      </c>
      <c r="E82" s="36"/>
      <c r="F82" s="36"/>
      <c r="G82" s="36"/>
      <c r="H82" s="37"/>
      <c r="I82" s="15"/>
    </row>
    <row r="83" spans="1:9" ht="26.25">
      <c r="A83" s="77" t="str">
        <f>A82&amp;"1"</f>
        <v>06.01</v>
      </c>
      <c r="B83" s="77"/>
      <c r="C83" s="77"/>
      <c r="D83" s="77"/>
      <c r="E83" s="77"/>
      <c r="F83" s="77"/>
      <c r="G83" s="77"/>
      <c r="H83" s="77"/>
      <c r="I83" s="15"/>
    </row>
    <row r="84" spans="1:9" ht="26.25">
      <c r="A84" s="38" t="str">
        <f>A83&amp;".01"</f>
        <v>06.01.01</v>
      </c>
      <c r="B84" s="44" t="s">
        <v>48</v>
      </c>
      <c r="C84" s="39" t="str">
        <f>'[5]COMPOSIÇÕES (2)'!B24</f>
        <v>CP 003</v>
      </c>
      <c r="D84" s="40" t="str">
        <f>COMPOSIÇÕES!C33</f>
        <v>SAPATA CORRIDA</v>
      </c>
      <c r="E84" s="41" t="str">
        <f>COMPOSIÇÕES!D33</f>
        <v>M</v>
      </c>
      <c r="F84" s="42">
        <f>21.5*3+36+4*8</f>
        <v>132.5</v>
      </c>
      <c r="G84" s="43"/>
      <c r="H84" s="43"/>
      <c r="I84" s="15"/>
    </row>
    <row r="85" spans="1:9" ht="26.25">
      <c r="A85" s="38" t="str">
        <f>A83&amp;".02"</f>
        <v>06.01.02</v>
      </c>
      <c r="B85" s="44" t="s">
        <v>630</v>
      </c>
      <c r="C85" s="39">
        <v>89998</v>
      </c>
      <c r="D85" s="40" t="s">
        <v>189</v>
      </c>
      <c r="E85" s="41" t="s">
        <v>31</v>
      </c>
      <c r="F85" s="42">
        <f>((36*2+21.5*2)*3+(8*4+21.5)*2)*2*0.617</f>
        <v>557.768</v>
      </c>
      <c r="G85" s="43"/>
      <c r="H85" s="43"/>
      <c r="I85" s="15"/>
    </row>
    <row r="86" spans="1:9" ht="28.5">
      <c r="A86" s="38" t="str">
        <f>A83&amp;".03"</f>
        <v>06.01.03</v>
      </c>
      <c r="B86" s="44" t="s">
        <v>630</v>
      </c>
      <c r="C86" s="39">
        <v>89288</v>
      </c>
      <c r="D86" s="40" t="s">
        <v>185</v>
      </c>
      <c r="E86" s="41" t="s">
        <v>90</v>
      </c>
      <c r="F86" s="42">
        <v>742.95</v>
      </c>
      <c r="G86" s="43"/>
      <c r="H86" s="43"/>
      <c r="I86" s="15"/>
    </row>
    <row r="87" spans="1:9" ht="28.5">
      <c r="A87" s="38" t="str">
        <f>A83&amp;".04"</f>
        <v>06.01.04</v>
      </c>
      <c r="B87" s="44" t="s">
        <v>630</v>
      </c>
      <c r="C87" s="39">
        <v>89288</v>
      </c>
      <c r="D87" s="40" t="s">
        <v>186</v>
      </c>
      <c r="E87" s="41" t="s">
        <v>90</v>
      </c>
      <c r="F87" s="42">
        <f>8*4*(4+6)/2+4.7*4*3+3*3*1-F45+4*3</f>
        <v>224.6</v>
      </c>
      <c r="G87" s="43"/>
      <c r="H87" s="43"/>
      <c r="I87" s="15"/>
    </row>
    <row r="88" spans="1:9" ht="29.25" customHeight="1">
      <c r="A88" s="38" t="str">
        <f>A83&amp;".05"</f>
        <v>06.01.05</v>
      </c>
      <c r="B88" s="44" t="s">
        <v>630</v>
      </c>
      <c r="C88" s="39">
        <v>89996</v>
      </c>
      <c r="D88" s="40" t="s">
        <v>190</v>
      </c>
      <c r="E88" s="41" t="s">
        <v>31</v>
      </c>
      <c r="F88" s="42">
        <f>(12*8.45+8*8.45+8*4)*6*0.617</f>
        <v>744.102</v>
      </c>
      <c r="G88" s="43"/>
      <c r="H88" s="43"/>
      <c r="I88" s="15"/>
    </row>
    <row r="89" spans="1:9" ht="29.25" customHeight="1">
      <c r="A89" s="38" t="str">
        <f>A82&amp;".06"</f>
        <v>06.0.06</v>
      </c>
      <c r="B89" s="44" t="s">
        <v>630</v>
      </c>
      <c r="C89" s="39">
        <v>89994</v>
      </c>
      <c r="D89" s="40" t="s">
        <v>193</v>
      </c>
      <c r="E89" s="41" t="s">
        <v>102</v>
      </c>
      <c r="F89" s="42">
        <f>0.02*(F86+F87)</f>
        <v>19.351000000000003</v>
      </c>
      <c r="G89" s="43"/>
      <c r="H89" s="43"/>
      <c r="I89" s="15"/>
    </row>
    <row r="90" spans="1:9" ht="30" customHeight="1">
      <c r="A90" s="38" t="str">
        <f>A83&amp;".06"</f>
        <v>06.01.06</v>
      </c>
      <c r="B90" s="44" t="s">
        <v>630</v>
      </c>
      <c r="C90" s="39">
        <v>90000</v>
      </c>
      <c r="D90" s="40" t="s">
        <v>191</v>
      </c>
      <c r="E90" s="41" t="s">
        <v>31</v>
      </c>
      <c r="F90" s="42">
        <f>(6*3+7.7*3)*4*0.617</f>
        <v>101.4348</v>
      </c>
      <c r="G90" s="43"/>
      <c r="H90" s="43"/>
      <c r="I90" s="15"/>
    </row>
    <row r="91" spans="1:9" ht="30" customHeight="1">
      <c r="A91" s="35" t="s">
        <v>86</v>
      </c>
      <c r="B91" s="35"/>
      <c r="C91" s="35"/>
      <c r="D91" s="36" t="s">
        <v>523</v>
      </c>
      <c r="E91" s="36"/>
      <c r="F91" s="36"/>
      <c r="G91" s="36"/>
      <c r="H91" s="37"/>
      <c r="I91" s="15"/>
    </row>
    <row r="92" spans="1:9" ht="30" customHeight="1">
      <c r="A92" s="77" t="str">
        <f>A91&amp;"1"</f>
        <v>07.01</v>
      </c>
      <c r="B92" s="77"/>
      <c r="C92" s="77"/>
      <c r="D92" s="77" t="s">
        <v>525</v>
      </c>
      <c r="E92" s="77"/>
      <c r="F92" s="77"/>
      <c r="G92" s="77"/>
      <c r="H92" s="77"/>
      <c r="I92" s="15"/>
    </row>
    <row r="93" spans="1:9" ht="30" customHeight="1">
      <c r="A93" s="38" t="str">
        <f>A92&amp;".01"</f>
        <v>07.01.01</v>
      </c>
      <c r="B93" s="44" t="s">
        <v>630</v>
      </c>
      <c r="C93" s="39">
        <v>101895</v>
      </c>
      <c r="D93" s="40" t="s">
        <v>176</v>
      </c>
      <c r="E93" s="41" t="s">
        <v>12</v>
      </c>
      <c r="F93" s="42">
        <v>2</v>
      </c>
      <c r="G93" s="43"/>
      <c r="H93" s="43"/>
      <c r="I93" s="15"/>
    </row>
    <row r="94" spans="1:9" ht="30" customHeight="1">
      <c r="A94" s="38" t="str">
        <f>A92&amp;".02"</f>
        <v>07.01.02</v>
      </c>
      <c r="B94" s="44" t="s">
        <v>630</v>
      </c>
      <c r="C94" s="39">
        <v>93656</v>
      </c>
      <c r="D94" s="40" t="s">
        <v>177</v>
      </c>
      <c r="E94" s="41" t="s">
        <v>12</v>
      </c>
      <c r="F94" s="42">
        <v>15</v>
      </c>
      <c r="G94" s="43"/>
      <c r="H94" s="43"/>
      <c r="I94" s="15"/>
    </row>
    <row r="95" spans="1:9" ht="30" customHeight="1">
      <c r="A95" s="38" t="str">
        <f>A92&amp;".03"</f>
        <v>07.01.03</v>
      </c>
      <c r="B95" s="44" t="s">
        <v>630</v>
      </c>
      <c r="C95" s="39">
        <v>39455</v>
      </c>
      <c r="D95" s="40" t="s">
        <v>179</v>
      </c>
      <c r="E95" s="41" t="s">
        <v>12</v>
      </c>
      <c r="F95" s="42">
        <v>2</v>
      </c>
      <c r="G95" s="43"/>
      <c r="H95" s="43"/>
      <c r="I95" s="15"/>
    </row>
    <row r="96" spans="1:9" ht="30" customHeight="1">
      <c r="A96" s="38" t="str">
        <f>A92&amp;".04"</f>
        <v>07.01.04</v>
      </c>
      <c r="B96" s="44" t="s">
        <v>630</v>
      </c>
      <c r="C96" s="39">
        <v>93673</v>
      </c>
      <c r="D96" s="40" t="s">
        <v>178</v>
      </c>
      <c r="E96" s="41" t="s">
        <v>12</v>
      </c>
      <c r="F96" s="42">
        <v>40</v>
      </c>
      <c r="G96" s="43"/>
      <c r="H96" s="43"/>
      <c r="I96" s="15"/>
    </row>
    <row r="97" spans="1:9" ht="30" customHeight="1">
      <c r="A97" s="38" t="str">
        <f>A92&amp;".05"</f>
        <v>07.01.05</v>
      </c>
      <c r="B97" s="44" t="s">
        <v>630</v>
      </c>
      <c r="C97" s="39">
        <v>39469</v>
      </c>
      <c r="D97" s="40" t="s">
        <v>180</v>
      </c>
      <c r="E97" s="41" t="s">
        <v>12</v>
      </c>
      <c r="F97" s="42">
        <v>4</v>
      </c>
      <c r="G97" s="43"/>
      <c r="H97" s="43"/>
      <c r="I97" s="15"/>
    </row>
    <row r="98" spans="1:9" ht="30" customHeight="1">
      <c r="A98" s="77" t="str">
        <f>A91&amp;"2"</f>
        <v>07.02</v>
      </c>
      <c r="B98" s="77"/>
      <c r="C98" s="77"/>
      <c r="D98" s="77" t="s">
        <v>267</v>
      </c>
      <c r="E98" s="77"/>
      <c r="F98" s="77"/>
      <c r="G98" s="77"/>
      <c r="H98" s="77"/>
      <c r="I98" s="15"/>
    </row>
    <row r="99" spans="1:9" ht="30" customHeight="1">
      <c r="A99" s="38" t="str">
        <f>A98&amp;".01"</f>
        <v>07.02.01</v>
      </c>
      <c r="B99" s="44" t="s">
        <v>630</v>
      </c>
      <c r="C99" s="39">
        <v>91926</v>
      </c>
      <c r="D99" s="40" t="s">
        <v>340</v>
      </c>
      <c r="E99" s="41" t="s">
        <v>18</v>
      </c>
      <c r="F99" s="42">
        <v>900</v>
      </c>
      <c r="G99" s="43"/>
      <c r="H99" s="43"/>
      <c r="I99" s="15"/>
    </row>
    <row r="100" spans="1:9" ht="30" customHeight="1">
      <c r="A100" s="38" t="str">
        <f>A98&amp;".02"</f>
        <v>07.02.02</v>
      </c>
      <c r="B100" s="44" t="s">
        <v>630</v>
      </c>
      <c r="C100" s="39">
        <v>91928</v>
      </c>
      <c r="D100" s="40" t="s">
        <v>337</v>
      </c>
      <c r="E100" s="41" t="s">
        <v>18</v>
      </c>
      <c r="F100" s="42">
        <f>25*5*10</f>
        <v>1250</v>
      </c>
      <c r="G100" s="43"/>
      <c r="H100" s="43"/>
      <c r="I100" s="15"/>
    </row>
    <row r="101" spans="1:9" ht="30" customHeight="1">
      <c r="A101" s="38" t="str">
        <f>A98&amp;".03"</f>
        <v>07.02.03</v>
      </c>
      <c r="B101" s="44" t="s">
        <v>630</v>
      </c>
      <c r="C101" s="39">
        <v>91930</v>
      </c>
      <c r="D101" s="40" t="s">
        <v>338</v>
      </c>
      <c r="E101" s="41" t="s">
        <v>18</v>
      </c>
      <c r="F101" s="42">
        <f>120*3+24*5*2</f>
        <v>600</v>
      </c>
      <c r="G101" s="43"/>
      <c r="H101" s="43"/>
      <c r="I101" s="15"/>
    </row>
    <row r="102" spans="1:9" ht="30" customHeight="1">
      <c r="A102" s="38" t="str">
        <f>A98&amp;".04"</f>
        <v>07.02.04</v>
      </c>
      <c r="B102" s="44" t="s">
        <v>630</v>
      </c>
      <c r="C102" s="39">
        <v>92984</v>
      </c>
      <c r="D102" s="40" t="s">
        <v>336</v>
      </c>
      <c r="E102" s="41" t="s">
        <v>18</v>
      </c>
      <c r="F102" s="42">
        <f>70*5</f>
        <v>350</v>
      </c>
      <c r="G102" s="43"/>
      <c r="H102" s="43"/>
      <c r="I102" s="15"/>
    </row>
    <row r="103" spans="1:9" ht="30" customHeight="1">
      <c r="A103" s="38" t="str">
        <f>A98&amp;".05"</f>
        <v>07.02.05</v>
      </c>
      <c r="B103" s="44" t="s">
        <v>48</v>
      </c>
      <c r="C103" s="39" t="str">
        <f>COMPOSIÇÕES!B791</f>
        <v>CP 051</v>
      </c>
      <c r="D103" s="40" t="s">
        <v>339</v>
      </c>
      <c r="E103" s="41" t="s">
        <v>18</v>
      </c>
      <c r="F103" s="42">
        <f>5*7.5*3</f>
        <v>112.5</v>
      </c>
      <c r="G103" s="43"/>
      <c r="H103" s="43"/>
      <c r="I103" s="15"/>
    </row>
    <row r="104" spans="1:9" ht="30" customHeight="1">
      <c r="A104" s="38" t="str">
        <f>A98&amp;".06"</f>
        <v>07.02.06</v>
      </c>
      <c r="B104" s="44" t="s">
        <v>630</v>
      </c>
      <c r="C104" s="39">
        <v>91846</v>
      </c>
      <c r="D104" s="40" t="s">
        <v>341</v>
      </c>
      <c r="E104" s="41" t="s">
        <v>18</v>
      </c>
      <c r="F104" s="42">
        <v>900</v>
      </c>
      <c r="G104" s="43"/>
      <c r="H104" s="43"/>
      <c r="I104" s="15"/>
    </row>
    <row r="105" spans="1:9" ht="30" customHeight="1">
      <c r="A105" s="38" t="str">
        <f>A98&amp;".07"</f>
        <v>07.02.07</v>
      </c>
      <c r="B105" s="44" t="s">
        <v>630</v>
      </c>
      <c r="C105" s="39">
        <v>41629</v>
      </c>
      <c r="D105" s="40" t="s">
        <v>112</v>
      </c>
      <c r="E105" s="41" t="s">
        <v>12</v>
      </c>
      <c r="F105" s="42">
        <v>7</v>
      </c>
      <c r="G105" s="43"/>
      <c r="H105" s="43"/>
      <c r="I105" s="15"/>
    </row>
    <row r="106" spans="1:9" ht="30" customHeight="1">
      <c r="A106" s="38" t="str">
        <f>A98&amp;".08"</f>
        <v>07.02.08</v>
      </c>
      <c r="B106" s="44" t="s">
        <v>630</v>
      </c>
      <c r="C106" s="39">
        <v>97667</v>
      </c>
      <c r="D106" s="40" t="s">
        <v>342</v>
      </c>
      <c r="E106" s="41" t="s">
        <v>18</v>
      </c>
      <c r="F106" s="42">
        <f>75</f>
        <v>75</v>
      </c>
      <c r="G106" s="43"/>
      <c r="H106" s="43"/>
      <c r="I106" s="15"/>
    </row>
    <row r="107" spans="1:9" ht="30" customHeight="1">
      <c r="A107" s="77" t="str">
        <f>A91&amp;"3"</f>
        <v>07.03</v>
      </c>
      <c r="B107" s="77"/>
      <c r="C107" s="77"/>
      <c r="D107" s="77" t="s">
        <v>218</v>
      </c>
      <c r="E107" s="77"/>
      <c r="F107" s="77"/>
      <c r="G107" s="77"/>
      <c r="H107" s="77"/>
      <c r="I107" s="15"/>
    </row>
    <row r="108" spans="1:9" ht="51" customHeight="1">
      <c r="A108" s="38" t="str">
        <f>A107&amp;".01"</f>
        <v>07.03.01</v>
      </c>
      <c r="B108" s="44" t="s">
        <v>630</v>
      </c>
      <c r="C108" s="39">
        <v>101881</v>
      </c>
      <c r="D108" s="40" t="s">
        <v>524</v>
      </c>
      <c r="E108" s="41" t="s">
        <v>12</v>
      </c>
      <c r="F108" s="42">
        <v>1</v>
      </c>
      <c r="G108" s="43"/>
      <c r="H108" s="43"/>
      <c r="I108" s="15"/>
    </row>
    <row r="109" spans="1:9" ht="30" customHeight="1">
      <c r="A109" s="77" t="str">
        <f>A91&amp;"4"</f>
        <v>07.04</v>
      </c>
      <c r="B109" s="77"/>
      <c r="C109" s="77"/>
      <c r="D109" s="77" t="s">
        <v>247</v>
      </c>
      <c r="E109" s="77"/>
      <c r="F109" s="77"/>
      <c r="G109" s="77"/>
      <c r="H109" s="77"/>
      <c r="I109" s="15"/>
    </row>
    <row r="110" spans="1:9" ht="52.5" customHeight="1">
      <c r="A110" s="38" t="str">
        <f>A109&amp;".01"</f>
        <v>07.04.01</v>
      </c>
      <c r="B110" s="44" t="s">
        <v>630</v>
      </c>
      <c r="C110" s="39">
        <v>102106</v>
      </c>
      <c r="D110" s="40" t="s">
        <v>216</v>
      </c>
      <c r="E110" s="41" t="s">
        <v>12</v>
      </c>
      <c r="F110" s="42">
        <v>1</v>
      </c>
      <c r="G110" s="43"/>
      <c r="H110" s="43"/>
      <c r="I110" s="15"/>
    </row>
    <row r="111" spans="1:9" ht="30" customHeight="1">
      <c r="A111" s="38" t="str">
        <f>A109&amp;".02"</f>
        <v>07.04.02</v>
      </c>
      <c r="B111" s="44" t="s">
        <v>630</v>
      </c>
      <c r="C111" s="39">
        <v>102109</v>
      </c>
      <c r="D111" s="40" t="s">
        <v>217</v>
      </c>
      <c r="E111" s="41" t="s">
        <v>12</v>
      </c>
      <c r="F111" s="42">
        <v>1</v>
      </c>
      <c r="G111" s="43"/>
      <c r="H111" s="43"/>
      <c r="I111" s="15"/>
    </row>
    <row r="112" spans="1:9" ht="30" customHeight="1">
      <c r="A112" s="38" t="str">
        <f>A109&amp;".03"</f>
        <v>07.04.03</v>
      </c>
      <c r="B112" s="44" t="s">
        <v>630</v>
      </c>
      <c r="C112" s="39">
        <v>863</v>
      </c>
      <c r="D112" s="40" t="s">
        <v>281</v>
      </c>
      <c r="E112" s="41" t="s">
        <v>18</v>
      </c>
      <c r="F112" s="42">
        <v>20</v>
      </c>
      <c r="G112" s="43"/>
      <c r="H112" s="43"/>
      <c r="I112" s="15"/>
    </row>
    <row r="113" spans="1:9" ht="30" customHeight="1">
      <c r="A113" s="38" t="str">
        <f>A109&amp;".04"</f>
        <v>07.04.04</v>
      </c>
      <c r="B113" s="44" t="s">
        <v>630</v>
      </c>
      <c r="C113" s="39">
        <v>4273</v>
      </c>
      <c r="D113" s="40" t="s">
        <v>263</v>
      </c>
      <c r="E113" s="41" t="s">
        <v>12</v>
      </c>
      <c r="F113" s="42">
        <v>1</v>
      </c>
      <c r="G113" s="43"/>
      <c r="H113" s="43"/>
      <c r="I113" s="15"/>
    </row>
    <row r="114" spans="1:9" ht="45.75" customHeight="1">
      <c r="A114" s="38" t="str">
        <f>A109&amp;".05"</f>
        <v>07.04.05</v>
      </c>
      <c r="B114" s="44" t="s">
        <v>630</v>
      </c>
      <c r="C114" s="39">
        <v>12043</v>
      </c>
      <c r="D114" s="40" t="s">
        <v>298</v>
      </c>
      <c r="E114" s="41" t="s">
        <v>12</v>
      </c>
      <c r="F114" s="42">
        <v>1</v>
      </c>
      <c r="G114" s="43"/>
      <c r="H114" s="43"/>
      <c r="I114" s="15"/>
    </row>
    <row r="115" spans="1:9" ht="45" customHeight="1">
      <c r="A115" s="38" t="str">
        <f>A109&amp;".06"</f>
        <v>07.04.06</v>
      </c>
      <c r="B115" s="44" t="s">
        <v>630</v>
      </c>
      <c r="C115" s="39">
        <v>12327</v>
      </c>
      <c r="D115" s="40" t="s">
        <v>304</v>
      </c>
      <c r="E115" s="41" t="s">
        <v>12</v>
      </c>
      <c r="F115" s="42">
        <v>1</v>
      </c>
      <c r="G115" s="43"/>
      <c r="H115" s="43"/>
      <c r="I115" s="15"/>
    </row>
    <row r="116" spans="1:9" ht="43.5" customHeight="1">
      <c r="A116" s="38" t="str">
        <f>A109&amp;".07"</f>
        <v>07.04.07</v>
      </c>
      <c r="B116" s="44" t="s">
        <v>630</v>
      </c>
      <c r="C116" s="39">
        <v>3298</v>
      </c>
      <c r="D116" s="40" t="s">
        <v>307</v>
      </c>
      <c r="E116" s="41" t="s">
        <v>12</v>
      </c>
      <c r="F116" s="42">
        <v>3</v>
      </c>
      <c r="G116" s="43"/>
      <c r="H116" s="43"/>
      <c r="I116" s="15"/>
    </row>
    <row r="117" spans="1:9" ht="30" customHeight="1">
      <c r="A117" s="38" t="str">
        <f>A109&amp;".08"</f>
        <v>07.04.08</v>
      </c>
      <c r="B117" s="44" t="s">
        <v>630</v>
      </c>
      <c r="C117" s="39">
        <v>39809</v>
      </c>
      <c r="D117" s="40" t="s">
        <v>308</v>
      </c>
      <c r="E117" s="41" t="s">
        <v>12</v>
      </c>
      <c r="F117" s="42">
        <v>1</v>
      </c>
      <c r="G117" s="43"/>
      <c r="H117" s="43"/>
      <c r="I117" s="15"/>
    </row>
    <row r="118" spans="1:9" ht="30" customHeight="1">
      <c r="A118" s="38" t="str">
        <f>A109&amp;".09"</f>
        <v>07.04.09</v>
      </c>
      <c r="B118" s="44" t="s">
        <v>48</v>
      </c>
      <c r="C118" s="39" t="str">
        <f>COMPOSIÇÕES!B320</f>
        <v>CP 017</v>
      </c>
      <c r="D118" s="40" t="str">
        <f>COMPOSIÇÕES!C320</f>
        <v>CAIXA DE ATERRAMENTO DE CONCRETO ARMADO PRÉ-MOLDADO E TAMPA DE FERRO T55</v>
      </c>
      <c r="E118" s="41" t="s">
        <v>12</v>
      </c>
      <c r="F118" s="42">
        <v>6</v>
      </c>
      <c r="G118" s="43"/>
      <c r="H118" s="43"/>
      <c r="I118" s="15"/>
    </row>
    <row r="119" spans="1:9" ht="30" customHeight="1">
      <c r="A119" s="38" t="str">
        <f>A109&amp;".12"</f>
        <v>07.04.12</v>
      </c>
      <c r="B119" s="44" t="s">
        <v>630</v>
      </c>
      <c r="C119" s="39">
        <v>3380</v>
      </c>
      <c r="D119" s="40" t="s">
        <v>313</v>
      </c>
      <c r="E119" s="41" t="s">
        <v>12</v>
      </c>
      <c r="F119" s="42">
        <v>6</v>
      </c>
      <c r="G119" s="43"/>
      <c r="H119" s="43"/>
      <c r="I119" s="15"/>
    </row>
    <row r="120" spans="1:9" ht="30" customHeight="1">
      <c r="A120" s="38" t="str">
        <f>A109&amp;".13"</f>
        <v>07.04.13</v>
      </c>
      <c r="B120" s="44" t="s">
        <v>48</v>
      </c>
      <c r="C120" s="39" t="str">
        <f>COMPOSIÇÕES!B266</f>
        <v>CP 014</v>
      </c>
      <c r="D120" s="40" t="str">
        <f>COMPOSIÇÕES!C266</f>
        <v>INSTALAÇÃO DE EQUIPAMENTOS PARA A READEQUAÇÃO DE ENTRADA DE ENERGIA</v>
      </c>
      <c r="E120" s="41" t="str">
        <f>COMPOSIÇÕES!D266</f>
        <v>UN</v>
      </c>
      <c r="F120" s="42">
        <v>1</v>
      </c>
      <c r="G120" s="43"/>
      <c r="H120" s="43"/>
      <c r="I120" s="15"/>
    </row>
    <row r="121" spans="1:9" ht="80.25" customHeight="1">
      <c r="A121" s="38" t="str">
        <f>A109&amp;".15"</f>
        <v>07.04.15</v>
      </c>
      <c r="B121" s="44" t="s">
        <v>48</v>
      </c>
      <c r="C121" s="39" t="str">
        <f>COMPOSIÇÕES!B335</f>
        <v>CP 018</v>
      </c>
      <c r="D121" s="40" t="str">
        <f>COMPOSIÇÕES!C335</f>
        <v>QUADRO GERAL DE DISTRIBUIÇÃO, DE EMBUTIR, METÁLICO, DIMENSÕES: 800X500X120 MM, PARA 36 DISJUNTORES, COM BARRAMENTO ISOLADO (PINTADO) – TRIFÁSICO 225A, BARRAMENTO NEUTRO E TERRA 40 FUROS, COM ISOLADORES, CANALETAS, TRILHO TIPO DIN, TAGS E ESPELHO DE POLICARBONATO TRANSPARENTE – REFERÊNCIA COMERCIAL: WOLTEC OU AJEL</v>
      </c>
      <c r="E121" s="41" t="s">
        <v>12</v>
      </c>
      <c r="F121" s="42">
        <v>1</v>
      </c>
      <c r="G121" s="43"/>
      <c r="H121" s="43"/>
      <c r="I121" s="15"/>
    </row>
    <row r="122" spans="1:9" ht="30" customHeight="1">
      <c r="A122" s="77" t="str">
        <f>A91&amp;"5"</f>
        <v>07.05</v>
      </c>
      <c r="B122" s="77"/>
      <c r="C122" s="77"/>
      <c r="D122" s="77" t="s">
        <v>265</v>
      </c>
      <c r="E122" s="77"/>
      <c r="F122" s="77"/>
      <c r="G122" s="77"/>
      <c r="H122" s="77"/>
      <c r="I122" s="15"/>
    </row>
    <row r="123" spans="1:9" ht="30" customHeight="1">
      <c r="A123" s="38" t="str">
        <f>A122&amp;".01"</f>
        <v>07.05.01</v>
      </c>
      <c r="B123" s="44" t="s">
        <v>630</v>
      </c>
      <c r="C123" s="39">
        <v>93143</v>
      </c>
      <c r="D123" s="40" t="s">
        <v>277</v>
      </c>
      <c r="E123" s="41" t="s">
        <v>12</v>
      </c>
      <c r="F123" s="42">
        <v>20</v>
      </c>
      <c r="G123" s="43"/>
      <c r="H123" s="43"/>
      <c r="I123" s="15"/>
    </row>
    <row r="124" spans="1:9" ht="30" customHeight="1">
      <c r="A124" s="38" t="str">
        <f>A122&amp;".02"</f>
        <v>07.05.02</v>
      </c>
      <c r="B124" s="44" t="s">
        <v>48</v>
      </c>
      <c r="C124" s="39" t="str">
        <f>COMPOSIÇÕES!B307</f>
        <v>CP 016</v>
      </c>
      <c r="D124" s="40" t="str">
        <f>COMPOSIÇÕES!C307</f>
        <v>PONTO DE TOMADA INDUSTRIAL INCLUINDO TOMADA 30A, CAIXA ELÉTRICA, ELETRODUTO, CABO, RASGO, QUEBRA E CHUMBAMENTO</v>
      </c>
      <c r="E124" s="41" t="s">
        <v>12</v>
      </c>
      <c r="F124" s="42">
        <v>20</v>
      </c>
      <c r="G124" s="43"/>
      <c r="H124" s="43"/>
      <c r="I124" s="15"/>
    </row>
    <row r="125" spans="1:9" ht="30" customHeight="1">
      <c r="A125" s="77" t="str">
        <f>A91&amp;"6"</f>
        <v>07.06</v>
      </c>
      <c r="B125" s="77"/>
      <c r="C125" s="77"/>
      <c r="D125" s="77" t="s">
        <v>215</v>
      </c>
      <c r="E125" s="77"/>
      <c r="F125" s="77"/>
      <c r="G125" s="77"/>
      <c r="H125" s="77"/>
      <c r="I125" s="15"/>
    </row>
    <row r="126" spans="1:9" ht="30" customHeight="1">
      <c r="A126" s="38" t="str">
        <f>A125&amp;".01"</f>
        <v>07.06.01</v>
      </c>
      <c r="B126" s="44" t="s">
        <v>48</v>
      </c>
      <c r="C126" s="39" t="str">
        <f>COMPOSIÇÕES!B134</f>
        <v>CP 012</v>
      </c>
      <c r="D126" s="40" t="str">
        <f>COMPOSIÇÕES!C134</f>
        <v>LUMINARIA LED REFLETOR RETANGULAR BIVOLT, LUZ BRANCA, 6500K, 100 W, VIDA ÚTIL MÍNIMA DE 25.000 HORAS, LÚMENS MÍNIMO DE 7500 lm - FORNECIMENTO E INSTALAÇÃO</v>
      </c>
      <c r="E126" s="41" t="s">
        <v>12</v>
      </c>
      <c r="F126" s="42">
        <v>36</v>
      </c>
      <c r="G126" s="43"/>
      <c r="H126" s="43"/>
      <c r="I126" s="15"/>
    </row>
    <row r="127" spans="1:9" ht="44.25" customHeight="1">
      <c r="A127" s="38" t="str">
        <f>A125&amp;".02"</f>
        <v>07.06.02</v>
      </c>
      <c r="B127" s="44" t="s">
        <v>48</v>
      </c>
      <c r="C127" s="39" t="str">
        <f>COMPOSIÇÕES!B299</f>
        <v>CP 015</v>
      </c>
      <c r="D127" s="40" t="str">
        <f>COMPOSIÇÕES!C299</f>
        <v>LUMINÁRIA LED INDUSTRIAL HIGH BAY SMD 200W BRANCO FRIO 6500K, BIVOLT, EL MÍNIMA DE 140LM/W, FP&gt;0,95, ÂNGULO DE ABERTURA DE 180º - FORNECIMENTO E INSTALAÇÃO</v>
      </c>
      <c r="E127" s="41" t="str">
        <f>COMPOSIÇÕES!D299</f>
        <v>UN</v>
      </c>
      <c r="F127" s="42">
        <v>12</v>
      </c>
      <c r="G127" s="43"/>
      <c r="H127" s="43"/>
      <c r="I127" s="15"/>
    </row>
    <row r="128" spans="1:9" ht="30" customHeight="1">
      <c r="A128" s="38" t="str">
        <f>A125&amp;".03"</f>
        <v>07.06.03</v>
      </c>
      <c r="B128" s="44" t="s">
        <v>630</v>
      </c>
      <c r="C128" s="39">
        <v>93128</v>
      </c>
      <c r="D128" s="40" t="s">
        <v>276</v>
      </c>
      <c r="E128" s="41" t="s">
        <v>12</v>
      </c>
      <c r="F128" s="42">
        <v>9</v>
      </c>
      <c r="G128" s="43"/>
      <c r="H128" s="43"/>
      <c r="I128" s="15"/>
    </row>
    <row r="129" spans="1:9" ht="30" customHeight="1">
      <c r="A129" s="77" t="str">
        <f>A91&amp;"7"</f>
        <v>07.07</v>
      </c>
      <c r="B129" s="77"/>
      <c r="C129" s="77"/>
      <c r="D129" s="77" t="s">
        <v>266</v>
      </c>
      <c r="E129" s="77"/>
      <c r="F129" s="77"/>
      <c r="G129" s="77"/>
      <c r="H129" s="77"/>
      <c r="I129" s="15"/>
    </row>
    <row r="130" spans="1:9" ht="30" customHeight="1">
      <c r="A130" s="38" t="str">
        <f>A129&amp;".01"</f>
        <v>07.07.01</v>
      </c>
      <c r="B130" s="44" t="s">
        <v>48</v>
      </c>
      <c r="C130" s="39" t="str">
        <f>COMPOSIÇÕES!B120</f>
        <v>CP 011</v>
      </c>
      <c r="D130" s="40" t="str">
        <f>COMPOSIÇÕES!C120</f>
        <v>REMOÇÃO DOS POSTES DE ILUMINAÇÃO</v>
      </c>
      <c r="E130" s="41" t="s">
        <v>12</v>
      </c>
      <c r="F130" s="42">
        <v>2</v>
      </c>
      <c r="G130" s="43"/>
      <c r="H130" s="43"/>
      <c r="I130" s="15"/>
    </row>
    <row r="131" spans="1:9" ht="30" customHeight="1">
      <c r="A131" s="35" t="s">
        <v>87</v>
      </c>
      <c r="B131" s="35"/>
      <c r="C131" s="35"/>
      <c r="D131" s="36" t="s">
        <v>558</v>
      </c>
      <c r="E131" s="36"/>
      <c r="F131" s="36"/>
      <c r="G131" s="36"/>
      <c r="H131" s="37"/>
      <c r="I131" s="15"/>
    </row>
    <row r="132" spans="1:9" ht="30" customHeight="1">
      <c r="A132" s="77" t="str">
        <f>A131&amp;"1"</f>
        <v>08.01</v>
      </c>
      <c r="B132" s="77"/>
      <c r="C132" s="77"/>
      <c r="D132" s="77" t="s">
        <v>557</v>
      </c>
      <c r="E132" s="77"/>
      <c r="F132" s="77"/>
      <c r="G132" s="77"/>
      <c r="H132" s="77"/>
      <c r="I132" s="15"/>
    </row>
    <row r="133" spans="1:9" ht="44.25" customHeight="1">
      <c r="A133" s="38" t="str">
        <f>A132&amp;".01"</f>
        <v>08.01.01</v>
      </c>
      <c r="B133" s="44" t="s">
        <v>48</v>
      </c>
      <c r="C133" s="39" t="str">
        <f>COMPOSIÇÕES!B684</f>
        <v>CP 037</v>
      </c>
      <c r="D133" s="40" t="str">
        <f>COMPOSIÇÕES!C684</f>
        <v>TELHA TÉRMICA SANDUÍCHE ISOTELHA TRAPEZOIDAL COM AÇO SUPERIOR BRANCO E AÇO INFERIOR TIPO FORRO BRANCO NÚCLEO EM PIR COM ESPESSURA DE 30MM LARGURA ÚTIL DE 01 METRO - FORNECIMENTO E INSTALAÇÃO</v>
      </c>
      <c r="E133" s="41" t="s">
        <v>90</v>
      </c>
      <c r="F133" s="42">
        <v>212.5</v>
      </c>
      <c r="G133" s="43"/>
      <c r="H133" s="43"/>
      <c r="I133" s="15"/>
    </row>
    <row r="134" spans="1:9" ht="44.25" customHeight="1">
      <c r="A134" s="38" t="str">
        <f>A132&amp;".02"</f>
        <v>08.01.02</v>
      </c>
      <c r="B134" s="44" t="s">
        <v>630</v>
      </c>
      <c r="C134" s="39">
        <v>94231</v>
      </c>
      <c r="D134" s="40" t="s">
        <v>221</v>
      </c>
      <c r="E134" s="41" t="s">
        <v>18</v>
      </c>
      <c r="F134" s="42">
        <v>24</v>
      </c>
      <c r="G134" s="43"/>
      <c r="H134" s="43"/>
      <c r="I134" s="15"/>
    </row>
    <row r="135" spans="1:9" ht="52.5" customHeight="1">
      <c r="A135" s="38" t="str">
        <f>A132&amp;".03"</f>
        <v>08.01.03</v>
      </c>
      <c r="B135" s="44" t="s">
        <v>630</v>
      </c>
      <c r="C135" s="39">
        <v>100763</v>
      </c>
      <c r="D135" s="40" t="s">
        <v>588</v>
      </c>
      <c r="E135" s="41" t="s">
        <v>31</v>
      </c>
      <c r="F135" s="42">
        <f>(23.5*4+9*4)*18</f>
        <v>2340</v>
      </c>
      <c r="G135" s="43"/>
      <c r="H135" s="43"/>
      <c r="I135" s="15"/>
    </row>
    <row r="136" spans="1:9" ht="30" customHeight="1">
      <c r="A136" s="35" t="s">
        <v>349</v>
      </c>
      <c r="B136" s="35"/>
      <c r="C136" s="35"/>
      <c r="D136" s="36" t="s">
        <v>433</v>
      </c>
      <c r="E136" s="36"/>
      <c r="F136" s="36"/>
      <c r="G136" s="36"/>
      <c r="H136" s="37"/>
      <c r="I136" s="15"/>
    </row>
    <row r="137" spans="1:9" ht="30" customHeight="1">
      <c r="A137" s="77" t="str">
        <f>A136&amp;"1"</f>
        <v>09.01</v>
      </c>
      <c r="B137" s="77"/>
      <c r="C137" s="77"/>
      <c r="D137" s="77" t="s">
        <v>474</v>
      </c>
      <c r="E137" s="77"/>
      <c r="F137" s="77"/>
      <c r="G137" s="77"/>
      <c r="H137" s="77"/>
      <c r="I137" s="15"/>
    </row>
    <row r="138" spans="1:9" ht="47.25" customHeight="1">
      <c r="A138" s="38" t="str">
        <f>A137&amp;".01"</f>
        <v>09.01.01</v>
      </c>
      <c r="B138" s="44" t="s">
        <v>630</v>
      </c>
      <c r="C138" s="39">
        <v>92367</v>
      </c>
      <c r="D138" s="40" t="s">
        <v>114</v>
      </c>
      <c r="E138" s="41" t="s">
        <v>18</v>
      </c>
      <c r="F138" s="42">
        <v>6</v>
      </c>
      <c r="G138" s="43"/>
      <c r="H138" s="43"/>
      <c r="I138" s="15"/>
    </row>
    <row r="139" spans="1:9" ht="52.5" customHeight="1">
      <c r="A139" s="38" t="str">
        <f>A137&amp;".02"</f>
        <v>09.01.02</v>
      </c>
      <c r="B139" s="44" t="s">
        <v>630</v>
      </c>
      <c r="C139" s="39">
        <v>97498</v>
      </c>
      <c r="D139" s="40" t="s">
        <v>354</v>
      </c>
      <c r="E139" s="41" t="s">
        <v>18</v>
      </c>
      <c r="F139" s="42">
        <v>6</v>
      </c>
      <c r="G139" s="43"/>
      <c r="H139" s="43"/>
      <c r="I139" s="15"/>
    </row>
    <row r="140" spans="1:9" ht="44.25" customHeight="1">
      <c r="A140" s="38" t="str">
        <f>A137&amp;".03"</f>
        <v>09.01.03</v>
      </c>
      <c r="B140" s="44" t="s">
        <v>630</v>
      </c>
      <c r="C140" s="39">
        <v>92390</v>
      </c>
      <c r="D140" s="40" t="s">
        <v>355</v>
      </c>
      <c r="E140" s="41" t="s">
        <v>12</v>
      </c>
      <c r="F140" s="42">
        <v>4</v>
      </c>
      <c r="G140" s="43"/>
      <c r="H140" s="43"/>
      <c r="I140" s="15"/>
    </row>
    <row r="141" spans="1:9" ht="45.75" customHeight="1">
      <c r="A141" s="38" t="str">
        <f>A137&amp;".04"</f>
        <v>09.01.04</v>
      </c>
      <c r="B141" s="44" t="s">
        <v>630</v>
      </c>
      <c r="C141" s="39">
        <v>92382</v>
      </c>
      <c r="D141" s="40" t="s">
        <v>357</v>
      </c>
      <c r="E141" s="41" t="s">
        <v>12</v>
      </c>
      <c r="F141" s="42">
        <v>4</v>
      </c>
      <c r="G141" s="43"/>
      <c r="H141" s="43"/>
      <c r="I141" s="15"/>
    </row>
    <row r="142" spans="1:9" ht="30" customHeight="1">
      <c r="A142" s="38" t="str">
        <f>A137&amp;".05"</f>
        <v>09.01.05</v>
      </c>
      <c r="B142" s="44" t="s">
        <v>630</v>
      </c>
      <c r="C142" s="39">
        <v>92642</v>
      </c>
      <c r="D142" s="40" t="s">
        <v>358</v>
      </c>
      <c r="E142" s="41" t="s">
        <v>12</v>
      </c>
      <c r="F142" s="42">
        <v>2</v>
      </c>
      <c r="G142" s="43"/>
      <c r="H142" s="43"/>
      <c r="I142" s="15"/>
    </row>
    <row r="143" spans="1:9" ht="30" customHeight="1">
      <c r="A143" s="38" t="str">
        <f>A137&amp;".06"</f>
        <v>09.01.06</v>
      </c>
      <c r="B143" s="44" t="s">
        <v>630</v>
      </c>
      <c r="C143" s="95">
        <v>94499</v>
      </c>
      <c r="D143" s="96" t="s">
        <v>450</v>
      </c>
      <c r="E143" s="41" t="s">
        <v>12</v>
      </c>
      <c r="F143" s="42">
        <v>1</v>
      </c>
      <c r="G143" s="43"/>
      <c r="H143" s="43"/>
      <c r="I143" s="15"/>
    </row>
    <row r="144" spans="1:9" ht="30" customHeight="1">
      <c r="A144" s="38" t="str">
        <f>A137&amp;".07"</f>
        <v>09.01.07</v>
      </c>
      <c r="B144" s="44" t="s">
        <v>630</v>
      </c>
      <c r="C144" s="95">
        <v>89986</v>
      </c>
      <c r="D144" s="96" t="s">
        <v>451</v>
      </c>
      <c r="E144" s="41" t="s">
        <v>12</v>
      </c>
      <c r="F144" s="42">
        <v>2</v>
      </c>
      <c r="G144" s="43"/>
      <c r="H144" s="43"/>
      <c r="I144" s="15"/>
    </row>
    <row r="145" spans="1:9" ht="54.75" customHeight="1">
      <c r="A145" s="38" t="str">
        <f>A137&amp;".08"</f>
        <v>09.01.08</v>
      </c>
      <c r="B145" s="44" t="s">
        <v>630</v>
      </c>
      <c r="C145" s="39">
        <v>99624</v>
      </c>
      <c r="D145" s="40" t="s">
        <v>452</v>
      </c>
      <c r="E145" s="41" t="s">
        <v>12</v>
      </c>
      <c r="F145" s="42">
        <v>1</v>
      </c>
      <c r="G145" s="43"/>
      <c r="H145" s="43"/>
      <c r="I145" s="15"/>
    </row>
    <row r="146" spans="1:9" ht="50.25" customHeight="1">
      <c r="A146" s="38" t="str">
        <f>A137&amp;".09"</f>
        <v>09.01.09</v>
      </c>
      <c r="B146" s="44" t="s">
        <v>630</v>
      </c>
      <c r="C146" s="39">
        <v>99619</v>
      </c>
      <c r="D146" s="40" t="s">
        <v>453</v>
      </c>
      <c r="E146" s="41" t="s">
        <v>12</v>
      </c>
      <c r="F146" s="42">
        <v>3</v>
      </c>
      <c r="G146" s="43"/>
      <c r="H146" s="43"/>
      <c r="I146" s="15"/>
    </row>
    <row r="147" spans="1:9" ht="30" customHeight="1">
      <c r="A147" s="77" t="str">
        <f>A136&amp;"2"</f>
        <v>09.02</v>
      </c>
      <c r="B147" s="77"/>
      <c r="C147" s="77"/>
      <c r="D147" s="77" t="s">
        <v>473</v>
      </c>
      <c r="E147" s="77"/>
      <c r="F147" s="77"/>
      <c r="G147" s="77"/>
      <c r="H147" s="77"/>
      <c r="I147" s="15"/>
    </row>
    <row r="148" spans="1:9" ht="30" customHeight="1">
      <c r="A148" s="38" t="str">
        <f>A147&amp;".01"</f>
        <v>09.02.01</v>
      </c>
      <c r="B148" s="44" t="s">
        <v>48</v>
      </c>
      <c r="C148" s="39" t="str">
        <f>COMPOSIÇÕES!B512</f>
        <v>CP 026</v>
      </c>
      <c r="D148" s="40" t="s">
        <v>117</v>
      </c>
      <c r="E148" s="41" t="s">
        <v>12</v>
      </c>
      <c r="F148" s="42">
        <v>1</v>
      </c>
      <c r="G148" s="43"/>
      <c r="H148" s="43"/>
      <c r="I148" s="15"/>
    </row>
    <row r="149" spans="1:9" ht="30" customHeight="1">
      <c r="A149" s="38" t="str">
        <f>A147&amp;".02"</f>
        <v>09.02.02</v>
      </c>
      <c r="B149" s="44" t="s">
        <v>48</v>
      </c>
      <c r="C149" s="39" t="str">
        <f>COMPOSIÇÕES!B534</f>
        <v>CP 027</v>
      </c>
      <c r="D149" s="40" t="s">
        <v>118</v>
      </c>
      <c r="E149" s="41" t="s">
        <v>12</v>
      </c>
      <c r="F149" s="42">
        <v>1</v>
      </c>
      <c r="G149" s="43"/>
      <c r="H149" s="43"/>
      <c r="I149" s="15"/>
    </row>
    <row r="150" spans="1:9" ht="30" customHeight="1">
      <c r="A150" s="77" t="str">
        <f>A136&amp;"2"</f>
        <v>09.02</v>
      </c>
      <c r="B150" s="77"/>
      <c r="C150" s="77"/>
      <c r="D150" s="77" t="s">
        <v>456</v>
      </c>
      <c r="E150" s="77"/>
      <c r="F150" s="77"/>
      <c r="G150" s="77"/>
      <c r="H150" s="77"/>
      <c r="I150" s="15"/>
    </row>
    <row r="151" spans="1:9" ht="30" customHeight="1">
      <c r="A151" s="38" t="str">
        <f>A150&amp;".01"</f>
        <v>09.02.01</v>
      </c>
      <c r="B151" s="44" t="s">
        <v>630</v>
      </c>
      <c r="C151" s="39">
        <v>101905</v>
      </c>
      <c r="D151" s="40" t="s">
        <v>434</v>
      </c>
      <c r="E151" s="41" t="s">
        <v>12</v>
      </c>
      <c r="F151" s="42">
        <v>5</v>
      </c>
      <c r="G151" s="43"/>
      <c r="H151" s="43"/>
      <c r="I151" s="15"/>
    </row>
    <row r="152" spans="1:9" ht="30" customHeight="1">
      <c r="A152" s="38" t="str">
        <f>A150&amp;".02"</f>
        <v>09.02.02</v>
      </c>
      <c r="B152" s="44" t="s">
        <v>630</v>
      </c>
      <c r="C152" s="39">
        <v>101908</v>
      </c>
      <c r="D152" s="40" t="s">
        <v>435</v>
      </c>
      <c r="E152" s="41" t="s">
        <v>12</v>
      </c>
      <c r="F152" s="42">
        <v>5</v>
      </c>
      <c r="G152" s="43"/>
      <c r="H152" s="43"/>
      <c r="I152" s="15"/>
    </row>
    <row r="153" spans="1:9" ht="30" customHeight="1">
      <c r="A153" s="38" t="str">
        <f>A150&amp;".03"</f>
        <v>09.02.03</v>
      </c>
      <c r="B153" s="44" t="s">
        <v>630</v>
      </c>
      <c r="C153" s="39">
        <v>101911</v>
      </c>
      <c r="D153" s="40" t="s">
        <v>436</v>
      </c>
      <c r="E153" s="41" t="s">
        <v>12</v>
      </c>
      <c r="F153" s="42">
        <v>3</v>
      </c>
      <c r="G153" s="43"/>
      <c r="H153" s="43"/>
      <c r="I153" s="15"/>
    </row>
    <row r="154" spans="1:9" ht="30" customHeight="1">
      <c r="A154" s="77" t="str">
        <f>A136&amp;"3"</f>
        <v>09.03</v>
      </c>
      <c r="B154" s="77"/>
      <c r="C154" s="77"/>
      <c r="D154" s="77" t="s">
        <v>463</v>
      </c>
      <c r="E154" s="77"/>
      <c r="F154" s="77"/>
      <c r="G154" s="77"/>
      <c r="H154" s="77"/>
      <c r="I154" s="15"/>
    </row>
    <row r="155" spans="1:9" ht="30" customHeight="1">
      <c r="A155" s="38" t="str">
        <f>A154&amp;".01"</f>
        <v>09.03.01</v>
      </c>
      <c r="B155" s="44" t="s">
        <v>630</v>
      </c>
      <c r="C155" s="39" t="s">
        <v>547</v>
      </c>
      <c r="D155" s="40" t="s">
        <v>475</v>
      </c>
      <c r="E155" s="41" t="s">
        <v>17</v>
      </c>
      <c r="F155" s="42">
        <v>12</v>
      </c>
      <c r="G155" s="43"/>
      <c r="H155" s="43"/>
      <c r="I155" s="15"/>
    </row>
    <row r="156" spans="1:9" ht="30" customHeight="1">
      <c r="A156" s="38" t="str">
        <f>A154&amp;".02"</f>
        <v>09.03.02</v>
      </c>
      <c r="B156" s="44" t="s">
        <v>630</v>
      </c>
      <c r="C156" s="39" t="s">
        <v>547</v>
      </c>
      <c r="D156" s="40" t="s">
        <v>464</v>
      </c>
      <c r="E156" s="41" t="s">
        <v>17</v>
      </c>
      <c r="F156" s="42">
        <v>6</v>
      </c>
      <c r="G156" s="43"/>
      <c r="H156" s="43"/>
      <c r="I156" s="15"/>
    </row>
    <row r="157" spans="1:9" ht="30" customHeight="1">
      <c r="A157" s="38" t="str">
        <f>A154&amp;".03"</f>
        <v>09.03.03</v>
      </c>
      <c r="B157" s="44" t="s">
        <v>630</v>
      </c>
      <c r="C157" s="39" t="s">
        <v>547</v>
      </c>
      <c r="D157" s="40" t="s">
        <v>465</v>
      </c>
      <c r="E157" s="41" t="s">
        <v>17</v>
      </c>
      <c r="F157" s="42">
        <v>6</v>
      </c>
      <c r="G157" s="43"/>
      <c r="H157" s="43"/>
      <c r="I157" s="15"/>
    </row>
    <row r="158" spans="1:9" ht="30" customHeight="1">
      <c r="A158" s="38" t="str">
        <f>A154&amp;".04"</f>
        <v>09.03.04</v>
      </c>
      <c r="B158" s="44" t="s">
        <v>48</v>
      </c>
      <c r="C158" s="39" t="str">
        <f>COMPOSIÇÕES!B550</f>
        <v>CP 029A</v>
      </c>
      <c r="D158" s="40" t="s">
        <v>466</v>
      </c>
      <c r="E158" s="41" t="s">
        <v>12</v>
      </c>
      <c r="F158" s="42">
        <v>8</v>
      </c>
      <c r="G158" s="43"/>
      <c r="H158" s="43"/>
      <c r="I158" s="15"/>
    </row>
    <row r="159" spans="1:9" ht="30" customHeight="1">
      <c r="A159" s="77" t="str">
        <f>A136&amp;"4"</f>
        <v>09.04</v>
      </c>
      <c r="B159" s="77"/>
      <c r="C159" s="77"/>
      <c r="D159" s="77" t="s">
        <v>437</v>
      </c>
      <c r="E159" s="77"/>
      <c r="F159" s="77"/>
      <c r="G159" s="77"/>
      <c r="H159" s="77"/>
      <c r="I159" s="15"/>
    </row>
    <row r="160" spans="1:9" ht="32.25" customHeight="1">
      <c r="A160" s="38" t="str">
        <f>A159&amp;".01"</f>
        <v>09.04.01</v>
      </c>
      <c r="B160" s="44" t="s">
        <v>630</v>
      </c>
      <c r="C160" s="39">
        <v>37558</v>
      </c>
      <c r="D160" s="40" t="s">
        <v>438</v>
      </c>
      <c r="E160" s="41" t="s">
        <v>12</v>
      </c>
      <c r="F160" s="42">
        <f>10+2+7+2</f>
        <v>21</v>
      </c>
      <c r="G160" s="43"/>
      <c r="H160" s="43"/>
      <c r="I160" s="15"/>
    </row>
    <row r="161" spans="1:9" ht="49.5" customHeight="1">
      <c r="A161" s="38" t="str">
        <f>A159&amp;".02"</f>
        <v>09.04.02</v>
      </c>
      <c r="B161" s="44" t="s">
        <v>630</v>
      </c>
      <c r="C161" s="39">
        <v>37558</v>
      </c>
      <c r="D161" s="40" t="s">
        <v>439</v>
      </c>
      <c r="E161" s="41" t="s">
        <v>12</v>
      </c>
      <c r="F161" s="42">
        <f>1+2+3</f>
        <v>6</v>
      </c>
      <c r="G161" s="43"/>
      <c r="H161" s="43"/>
      <c r="I161" s="15"/>
    </row>
    <row r="162" spans="1:9" ht="48.75" customHeight="1">
      <c r="A162" s="38" t="str">
        <f>A159&amp;".03"</f>
        <v>09.04.03</v>
      </c>
      <c r="B162" s="44" t="s">
        <v>630</v>
      </c>
      <c r="C162" s="39">
        <v>37558</v>
      </c>
      <c r="D162" s="40" t="s">
        <v>440</v>
      </c>
      <c r="E162" s="41" t="s">
        <v>12</v>
      </c>
      <c r="F162" s="42">
        <f>2+1+2</f>
        <v>5</v>
      </c>
      <c r="G162" s="43"/>
      <c r="H162" s="43"/>
      <c r="I162" s="15"/>
    </row>
    <row r="163" spans="1:9" ht="36.75" customHeight="1">
      <c r="A163" s="38" t="str">
        <f>A159&amp;".04"</f>
        <v>09.04.04</v>
      </c>
      <c r="B163" s="44" t="s">
        <v>630</v>
      </c>
      <c r="C163" s="39">
        <v>37558</v>
      </c>
      <c r="D163" s="40" t="s">
        <v>441</v>
      </c>
      <c r="E163" s="41" t="s">
        <v>12</v>
      </c>
      <c r="F163" s="42">
        <f>1+2+2</f>
        <v>5</v>
      </c>
      <c r="G163" s="43"/>
      <c r="H163" s="43"/>
      <c r="I163" s="15"/>
    </row>
    <row r="164" spans="1:9" ht="36.75" customHeight="1">
      <c r="A164" s="38" t="str">
        <f>A159&amp;".05"</f>
        <v>09.04.05</v>
      </c>
      <c r="B164" s="44" t="s">
        <v>630</v>
      </c>
      <c r="C164" s="39">
        <v>37558</v>
      </c>
      <c r="D164" s="40" t="s">
        <v>140</v>
      </c>
      <c r="E164" s="41" t="s">
        <v>12</v>
      </c>
      <c r="F164" s="42">
        <v>17</v>
      </c>
      <c r="G164" s="43"/>
      <c r="H164" s="43"/>
      <c r="I164" s="15"/>
    </row>
    <row r="165" spans="1:9" ht="36.75" customHeight="1">
      <c r="A165" s="38" t="str">
        <f>A159&amp;".06"</f>
        <v>09.04.06</v>
      </c>
      <c r="B165" s="44" t="s">
        <v>630</v>
      </c>
      <c r="C165" s="39">
        <v>37558</v>
      </c>
      <c r="D165" s="40" t="s">
        <v>141</v>
      </c>
      <c r="E165" s="41" t="s">
        <v>12</v>
      </c>
      <c r="F165" s="42">
        <v>4</v>
      </c>
      <c r="G165" s="43"/>
      <c r="H165" s="43"/>
      <c r="I165" s="15"/>
    </row>
    <row r="166" spans="1:9" ht="36.75" customHeight="1">
      <c r="A166" s="38" t="str">
        <f>A159&amp;".07"</f>
        <v>09.04.07</v>
      </c>
      <c r="B166" s="44" t="s">
        <v>630</v>
      </c>
      <c r="C166" s="39">
        <v>37558</v>
      </c>
      <c r="D166" s="40" t="s">
        <v>142</v>
      </c>
      <c r="E166" s="41" t="s">
        <v>12</v>
      </c>
      <c r="F166" s="42">
        <v>4</v>
      </c>
      <c r="G166" s="43"/>
      <c r="H166" s="43"/>
      <c r="I166" s="15"/>
    </row>
    <row r="167" spans="1:9" ht="36.75" customHeight="1">
      <c r="A167" s="38" t="str">
        <f>A159&amp;".08"</f>
        <v>09.04.08</v>
      </c>
      <c r="B167" s="44" t="s">
        <v>630</v>
      </c>
      <c r="C167" s="39">
        <v>37558</v>
      </c>
      <c r="D167" s="40" t="s">
        <v>143</v>
      </c>
      <c r="E167" s="41" t="s">
        <v>12</v>
      </c>
      <c r="F167" s="42">
        <v>4</v>
      </c>
      <c r="G167" s="43"/>
      <c r="H167" s="43"/>
      <c r="I167" s="15"/>
    </row>
    <row r="168" spans="1:9" ht="30" customHeight="1">
      <c r="A168" s="38" t="str">
        <f>A159&amp;".09"</f>
        <v>09.04.09</v>
      </c>
      <c r="B168" s="44" t="s">
        <v>630</v>
      </c>
      <c r="C168" s="44">
        <v>37558</v>
      </c>
      <c r="D168" s="38" t="s">
        <v>144</v>
      </c>
      <c r="E168" s="41" t="s">
        <v>12</v>
      </c>
      <c r="F168" s="42">
        <v>1</v>
      </c>
      <c r="G168" s="43"/>
      <c r="H168" s="43"/>
      <c r="I168" s="15"/>
    </row>
    <row r="169" spans="1:9" ht="30" customHeight="1">
      <c r="A169" s="38" t="str">
        <f>A159&amp;".10"</f>
        <v>09.04.10</v>
      </c>
      <c r="B169" s="44" t="s">
        <v>630</v>
      </c>
      <c r="C169" s="44">
        <v>37558</v>
      </c>
      <c r="D169" s="38" t="s">
        <v>145</v>
      </c>
      <c r="E169" s="41" t="s">
        <v>12</v>
      </c>
      <c r="F169" s="42">
        <v>1</v>
      </c>
      <c r="G169" s="43"/>
      <c r="H169" s="43"/>
      <c r="I169" s="15"/>
    </row>
    <row r="170" spans="1:9" ht="30" customHeight="1">
      <c r="A170" s="38" t="str">
        <f>A159&amp;".11"</f>
        <v>09.04.11</v>
      </c>
      <c r="B170" s="44" t="s">
        <v>630</v>
      </c>
      <c r="C170" s="44">
        <v>37558</v>
      </c>
      <c r="D170" s="38" t="s">
        <v>146</v>
      </c>
      <c r="E170" s="41" t="s">
        <v>12</v>
      </c>
      <c r="F170" s="42">
        <v>1</v>
      </c>
      <c r="G170" s="43"/>
      <c r="H170" s="43"/>
      <c r="I170" s="15"/>
    </row>
    <row r="171" spans="1:9" ht="30" customHeight="1">
      <c r="A171" s="38" t="str">
        <f>A159&amp;".12"</f>
        <v>09.04.12</v>
      </c>
      <c r="B171" s="44" t="s">
        <v>630</v>
      </c>
      <c r="C171" s="44">
        <v>37558</v>
      </c>
      <c r="D171" s="38" t="s">
        <v>147</v>
      </c>
      <c r="E171" s="41" t="s">
        <v>12</v>
      </c>
      <c r="F171" s="42">
        <v>1</v>
      </c>
      <c r="G171" s="43"/>
      <c r="H171" s="43"/>
      <c r="I171" s="15"/>
    </row>
    <row r="172" spans="1:9" ht="30" customHeight="1">
      <c r="A172" s="38" t="str">
        <f>A159&amp;".13"</f>
        <v>09.04.13</v>
      </c>
      <c r="B172" s="44" t="s">
        <v>630</v>
      </c>
      <c r="C172" s="44">
        <v>37558</v>
      </c>
      <c r="D172" s="38" t="s">
        <v>442</v>
      </c>
      <c r="E172" s="41" t="s">
        <v>12</v>
      </c>
      <c r="F172" s="42">
        <v>2</v>
      </c>
      <c r="G172" s="43"/>
      <c r="H172" s="43"/>
      <c r="I172" s="15"/>
    </row>
    <row r="173" spans="1:9" ht="30" customHeight="1">
      <c r="A173" s="38" t="str">
        <f>A159&amp;".14"</f>
        <v>09.04.14</v>
      </c>
      <c r="B173" s="44" t="s">
        <v>630</v>
      </c>
      <c r="C173" s="44">
        <v>37558</v>
      </c>
      <c r="D173" s="38" t="s">
        <v>443</v>
      </c>
      <c r="E173" s="41" t="s">
        <v>12</v>
      </c>
      <c r="F173" s="42">
        <v>2</v>
      </c>
      <c r="G173" s="43"/>
      <c r="H173" s="43"/>
      <c r="I173" s="15"/>
    </row>
    <row r="174" spans="1:9" ht="30" customHeight="1">
      <c r="A174" s="38" t="str">
        <f>A159&amp;".15"</f>
        <v>09.04.15</v>
      </c>
      <c r="B174" s="44" t="s">
        <v>630</v>
      </c>
      <c r="C174" s="44">
        <v>37558</v>
      </c>
      <c r="D174" s="38" t="s">
        <v>444</v>
      </c>
      <c r="E174" s="41" t="s">
        <v>12</v>
      </c>
      <c r="F174" s="42">
        <v>2</v>
      </c>
      <c r="G174" s="43"/>
      <c r="H174" s="43"/>
      <c r="I174" s="15"/>
    </row>
    <row r="175" spans="1:9" ht="30" customHeight="1">
      <c r="A175" s="77" t="str">
        <f>A136&amp;"5"</f>
        <v>09.05</v>
      </c>
      <c r="B175" s="77"/>
      <c r="C175" s="77"/>
      <c r="D175" s="77" t="s">
        <v>470</v>
      </c>
      <c r="E175" s="77"/>
      <c r="F175" s="77"/>
      <c r="G175" s="77"/>
      <c r="H175" s="77"/>
      <c r="I175" s="15"/>
    </row>
    <row r="176" spans="1:9" ht="30" customHeight="1">
      <c r="A176" s="38" t="str">
        <f>A175&amp;".01"</f>
        <v>09.05.01</v>
      </c>
      <c r="B176" s="44" t="s">
        <v>630</v>
      </c>
      <c r="C176" s="44">
        <v>94587</v>
      </c>
      <c r="D176" s="38" t="s">
        <v>454</v>
      </c>
      <c r="E176" s="41" t="s">
        <v>18</v>
      </c>
      <c r="F176" s="42">
        <f>2.1*2+0.87</f>
        <v>5.07</v>
      </c>
      <c r="G176" s="43"/>
      <c r="H176" s="43"/>
      <c r="I176" s="15"/>
    </row>
    <row r="177" spans="1:9" ht="30" customHeight="1">
      <c r="A177" s="38" t="str">
        <f>A175&amp;".02"</f>
        <v>09.05.02</v>
      </c>
      <c r="B177" s="44" t="s">
        <v>630</v>
      </c>
      <c r="C177" s="39">
        <v>94807</v>
      </c>
      <c r="D177" s="40" t="s">
        <v>455</v>
      </c>
      <c r="E177" s="41" t="s">
        <v>12</v>
      </c>
      <c r="F177" s="42">
        <v>1</v>
      </c>
      <c r="G177" s="43"/>
      <c r="H177" s="43"/>
      <c r="I177" s="15"/>
    </row>
    <row r="178" spans="1:9" ht="30" customHeight="1">
      <c r="A178" s="77" t="str">
        <f>A136&amp;"6"</f>
        <v>09.06</v>
      </c>
      <c r="B178" s="77"/>
      <c r="C178" s="77"/>
      <c r="D178" s="77" t="s">
        <v>402</v>
      </c>
      <c r="E178" s="41"/>
      <c r="F178" s="77"/>
      <c r="G178" s="77"/>
      <c r="H178" s="77"/>
      <c r="I178" s="15"/>
    </row>
    <row r="179" spans="1:9" ht="30" customHeight="1">
      <c r="A179" s="38" t="str">
        <f>A178&amp;".01"</f>
        <v>09.06.01</v>
      </c>
      <c r="B179" s="44" t="s">
        <v>48</v>
      </c>
      <c r="C179" s="44" t="str">
        <f>COMPOSIÇÕES!B437</f>
        <v>CP 020</v>
      </c>
      <c r="D179" s="38" t="str">
        <f>COMPOSIÇÕES!C437</f>
        <v>BLOCO DE ILUMINAÇÃO AUTÔNOMO BLA 2200 - FORNECIMENTO E INSTALAÇÃO</v>
      </c>
      <c r="E179" s="41" t="s">
        <v>12</v>
      </c>
      <c r="F179" s="42">
        <v>2</v>
      </c>
      <c r="G179" s="43"/>
      <c r="H179" s="43"/>
      <c r="I179" s="15"/>
    </row>
    <row r="180" spans="1:9" ht="30" customHeight="1">
      <c r="A180" s="38" t="str">
        <f>A178&amp;".02"</f>
        <v>09.06.02</v>
      </c>
      <c r="B180" s="44" t="s">
        <v>48</v>
      </c>
      <c r="C180" s="44" t="str">
        <f>COMPOSIÇÕES!B444</f>
        <v>CP 021</v>
      </c>
      <c r="D180" s="38" t="str">
        <f>COMPOSIÇÕES!C444</f>
        <v>PONTO DE ILUMINAÇÃO DE EMERGÊNCIA INCLUINDO CAIXA ELÉTRICA, ELETRODUTO, CABO, RASGO, QUEBRA E CHUMBAMENTO (EXCLUINDO LUMINÁRIA E LÂMPADA)</v>
      </c>
      <c r="E180" s="41" t="s">
        <v>12</v>
      </c>
      <c r="F180" s="42">
        <v>17</v>
      </c>
      <c r="G180" s="43"/>
      <c r="H180" s="43"/>
      <c r="I180" s="15"/>
    </row>
    <row r="181" spans="1:9" ht="30" customHeight="1">
      <c r="A181" s="38" t="str">
        <f>A178&amp;".03"</f>
        <v>09.06.03</v>
      </c>
      <c r="B181" s="44" t="s">
        <v>630</v>
      </c>
      <c r="C181" s="44">
        <v>97599</v>
      </c>
      <c r="D181" s="38" t="s">
        <v>445</v>
      </c>
      <c r="E181" s="41" t="s">
        <v>12</v>
      </c>
      <c r="F181" s="42">
        <v>15</v>
      </c>
      <c r="G181" s="43"/>
      <c r="H181" s="43"/>
      <c r="I181" s="15"/>
    </row>
    <row r="182" spans="1:9" ht="30" customHeight="1">
      <c r="A182" s="77" t="str">
        <f>A136&amp;"7"</f>
        <v>09.07</v>
      </c>
      <c r="B182" s="77"/>
      <c r="C182" s="77"/>
      <c r="D182" s="77" t="s">
        <v>535</v>
      </c>
      <c r="E182" s="77"/>
      <c r="F182" s="42"/>
      <c r="G182" s="77"/>
      <c r="H182" s="77"/>
      <c r="I182" s="15"/>
    </row>
    <row r="183" spans="1:9" ht="30" customHeight="1">
      <c r="A183" s="38" t="str">
        <f>A182&amp;".01"</f>
        <v>09.07.01</v>
      </c>
      <c r="B183" s="44" t="s">
        <v>48</v>
      </c>
      <c r="C183" s="44" t="str">
        <f>COMPOSIÇÕES!B463</f>
        <v>CP 022</v>
      </c>
      <c r="D183" s="38" t="str">
        <f>COMPOSIÇÕES!C463</f>
        <v>ACIONADOR MANUAL ENDEREÇÁVEL AME 521 INTELBRAS - FORNECIMENTO E INSTALAÇÃO</v>
      </c>
      <c r="E183" s="41" t="s">
        <v>12</v>
      </c>
      <c r="F183" s="42">
        <v>4</v>
      </c>
      <c r="G183" s="43"/>
      <c r="H183" s="43"/>
      <c r="I183" s="15"/>
    </row>
    <row r="184" spans="1:9" ht="30" customHeight="1">
      <c r="A184" s="38" t="str">
        <f>A182&amp;".02"</f>
        <v>09.07.02</v>
      </c>
      <c r="B184" s="44" t="s">
        <v>48</v>
      </c>
      <c r="C184" s="44" t="str">
        <f>COMPOSIÇÕES!B477</f>
        <v>CP 023</v>
      </c>
      <c r="D184" s="38" t="str">
        <f>COMPOSIÇÕES!C477</f>
        <v>CABO BLINDADO PARA INCÊNDIO DUAS VIAS 1,50MM - FORNECIMENTO E INSTALAÇÃO</v>
      </c>
      <c r="E184" s="41" t="s">
        <v>18</v>
      </c>
      <c r="F184" s="42">
        <v>600</v>
      </c>
      <c r="G184" s="43"/>
      <c r="H184" s="43"/>
      <c r="I184" s="15"/>
    </row>
    <row r="185" spans="1:9" ht="30" customHeight="1">
      <c r="A185" s="38" t="str">
        <f>A182&amp;".03"</f>
        <v>09.07.03</v>
      </c>
      <c r="B185" s="44" t="s">
        <v>48</v>
      </c>
      <c r="C185" s="44" t="str">
        <f>COMPOSIÇÕES!B638</f>
        <v>CP 032</v>
      </c>
      <c r="D185" s="38" t="str">
        <f>COMPOSIÇÕES!C638</f>
        <v>DETECTOR DE FUMAÇA ENDEREÇÁVEL INTELBRAS DFE 520 - FORNECIMENTO E INSTALAÇÃO</v>
      </c>
      <c r="E185" s="41" t="s">
        <v>12</v>
      </c>
      <c r="F185" s="42">
        <v>40</v>
      </c>
      <c r="G185" s="43"/>
      <c r="H185" s="43"/>
      <c r="I185" s="15"/>
    </row>
    <row r="186" spans="1:9" ht="30" customHeight="1">
      <c r="A186" s="38" t="str">
        <f>A182&amp;".04"</f>
        <v>09.07.04</v>
      </c>
      <c r="B186" s="44" t="s">
        <v>48</v>
      </c>
      <c r="C186" s="44" t="str">
        <f>COMPOSIÇÕES!B491</f>
        <v>CP 024</v>
      </c>
      <c r="D186" s="38" t="str">
        <f>COMPOSIÇÕES!C491</f>
        <v>CENTRAL ALARME DE INCÊNDIO ENDEREÇÁVEL CIE 1125 INTELBRAS - FORNECIMENTO E INSTALAÇÃO</v>
      </c>
      <c r="E186" s="41" t="s">
        <v>12</v>
      </c>
      <c r="F186" s="42">
        <v>1</v>
      </c>
      <c r="G186" s="43"/>
      <c r="H186" s="43"/>
      <c r="I186" s="15"/>
    </row>
    <row r="187" spans="1:9" ht="30" customHeight="1">
      <c r="A187" s="38" t="str">
        <f>A182&amp;".05"</f>
        <v>09.07.05</v>
      </c>
      <c r="B187" s="44" t="s">
        <v>630</v>
      </c>
      <c r="C187" s="44">
        <v>2580</v>
      </c>
      <c r="D187" s="38" t="s">
        <v>541</v>
      </c>
      <c r="E187" s="41" t="s">
        <v>12</v>
      </c>
      <c r="F187" s="42">
        <v>60</v>
      </c>
      <c r="G187" s="43"/>
      <c r="H187" s="43"/>
      <c r="I187" s="15"/>
    </row>
    <row r="188" spans="1:9" ht="30" customHeight="1">
      <c r="A188" s="38" t="str">
        <f>A182&amp;".06"</f>
        <v>09.07.06</v>
      </c>
      <c r="B188" s="44" t="s">
        <v>48</v>
      </c>
      <c r="C188" s="44" t="str">
        <f>COMPOSIÇÕES!B505</f>
        <v>CP 025</v>
      </c>
      <c r="D188" s="38" t="str">
        <f>COMPOSIÇÕES!C505</f>
        <v>SIRENE AUDIO VISUAL PARA ALARME DE INCENDIO INTELBRAS - FORNECIMENTO E INSTALAÇÃO</v>
      </c>
      <c r="E188" s="41" t="s">
        <v>12</v>
      </c>
      <c r="F188" s="42">
        <v>3</v>
      </c>
      <c r="G188" s="43"/>
      <c r="H188" s="43"/>
      <c r="I188" s="15"/>
    </row>
    <row r="189" spans="1:9" ht="30" customHeight="1">
      <c r="A189" s="77" t="str">
        <f>A136&amp;"8"</f>
        <v>09.08</v>
      </c>
      <c r="B189" s="77"/>
      <c r="C189" s="77"/>
      <c r="D189" s="77" t="s">
        <v>359</v>
      </c>
      <c r="E189" s="77"/>
      <c r="F189" s="77"/>
      <c r="G189" s="77"/>
      <c r="H189" s="77"/>
      <c r="I189" s="15"/>
    </row>
    <row r="190" spans="1:9" ht="41.25" customHeight="1">
      <c r="A190" s="38" t="str">
        <f>A189&amp;".01"</f>
        <v>09.08.01</v>
      </c>
      <c r="B190" s="44" t="s">
        <v>630</v>
      </c>
      <c r="C190" s="39" t="s">
        <v>447</v>
      </c>
      <c r="D190" s="38" t="s">
        <v>446</v>
      </c>
      <c r="E190" s="41" t="s">
        <v>17</v>
      </c>
      <c r="F190" s="42">
        <v>20</v>
      </c>
      <c r="G190" s="43"/>
      <c r="H190" s="43"/>
      <c r="I190" s="15"/>
    </row>
    <row r="191" spans="1:9" ht="30" customHeight="1">
      <c r="A191" s="38" t="str">
        <f>A189&amp;".02"</f>
        <v>09.08.02</v>
      </c>
      <c r="B191" s="44" t="s">
        <v>630</v>
      </c>
      <c r="C191" s="44">
        <v>91677</v>
      </c>
      <c r="D191" s="38" t="s">
        <v>448</v>
      </c>
      <c r="E191" s="41" t="s">
        <v>17</v>
      </c>
      <c r="F191" s="42">
        <v>40</v>
      </c>
      <c r="G191" s="43"/>
      <c r="H191" s="43"/>
      <c r="I191" s="15"/>
    </row>
    <row r="192" spans="1:9" ht="30" customHeight="1">
      <c r="A192" s="77" t="str">
        <f>A136&amp;"9"</f>
        <v>09.09</v>
      </c>
      <c r="B192" s="77"/>
      <c r="C192" s="77"/>
      <c r="D192" s="77" t="s">
        <v>457</v>
      </c>
      <c r="E192" s="77"/>
      <c r="F192" s="77"/>
      <c r="G192" s="77"/>
      <c r="H192" s="77"/>
      <c r="I192" s="15"/>
    </row>
    <row r="193" spans="1:9" ht="30" customHeight="1">
      <c r="A193" s="38" t="str">
        <f>A192&amp;".04"</f>
        <v>09.09.04</v>
      </c>
      <c r="B193" s="44" t="s">
        <v>48</v>
      </c>
      <c r="C193" s="44" t="str">
        <f>COMPOSIÇÕES!B542</f>
        <v>CP 028</v>
      </c>
      <c r="D193" s="38" t="s">
        <v>169</v>
      </c>
      <c r="E193" s="41" t="s">
        <v>12</v>
      </c>
      <c r="F193" s="42">
        <v>16</v>
      </c>
      <c r="G193" s="43"/>
      <c r="H193" s="43"/>
      <c r="I193" s="15"/>
    </row>
    <row r="194" spans="1:9" ht="41.25" customHeight="1">
      <c r="A194" s="38" t="str">
        <f>A192&amp;".05"</f>
        <v>09.09.05</v>
      </c>
      <c r="B194" s="44" t="s">
        <v>630</v>
      </c>
      <c r="C194" s="44">
        <v>100723</v>
      </c>
      <c r="D194" s="38" t="s">
        <v>351</v>
      </c>
      <c r="E194" s="41" t="s">
        <v>90</v>
      </c>
      <c r="F194" s="42">
        <v>8</v>
      </c>
      <c r="G194" s="43"/>
      <c r="H194" s="43"/>
      <c r="I194" s="15"/>
    </row>
    <row r="195" spans="1:9" ht="30" customHeight="1">
      <c r="A195" s="77" t="str">
        <f>A136&amp;"8"</f>
        <v>09.08</v>
      </c>
      <c r="B195" s="77"/>
      <c r="C195" s="77"/>
      <c r="D195" s="77" t="s">
        <v>213</v>
      </c>
      <c r="E195" s="77"/>
      <c r="F195" s="77"/>
      <c r="G195" s="77"/>
      <c r="H195" s="77"/>
      <c r="I195" s="15"/>
    </row>
    <row r="196" spans="1:9" ht="30" customHeight="1">
      <c r="A196" s="38" t="str">
        <f>A195&amp;".01"</f>
        <v>09.08.01</v>
      </c>
      <c r="B196" s="44" t="s">
        <v>630</v>
      </c>
      <c r="C196" s="44">
        <v>37558</v>
      </c>
      <c r="D196" s="38" t="s">
        <v>140</v>
      </c>
      <c r="E196" s="41" t="s">
        <v>12</v>
      </c>
      <c r="F196" s="42">
        <v>10</v>
      </c>
      <c r="G196" s="43"/>
      <c r="H196" s="43"/>
      <c r="I196" s="15"/>
    </row>
    <row r="197" spans="1:9" ht="30" customHeight="1">
      <c r="A197" s="38" t="str">
        <f>A195&amp;".02"</f>
        <v>09.08.02</v>
      </c>
      <c r="B197" s="44" t="s">
        <v>630</v>
      </c>
      <c r="C197" s="44">
        <v>37558</v>
      </c>
      <c r="D197" s="38" t="s">
        <v>141</v>
      </c>
      <c r="E197" s="41" t="s">
        <v>12</v>
      </c>
      <c r="F197" s="42">
        <v>4</v>
      </c>
      <c r="G197" s="43"/>
      <c r="H197" s="43"/>
      <c r="I197" s="15"/>
    </row>
    <row r="198" spans="1:9" ht="30" customHeight="1">
      <c r="A198" s="38" t="str">
        <f>A195&amp;".03"</f>
        <v>09.08.03</v>
      </c>
      <c r="B198" s="44" t="s">
        <v>630</v>
      </c>
      <c r="C198" s="44">
        <v>37558</v>
      </c>
      <c r="D198" s="38" t="s">
        <v>142</v>
      </c>
      <c r="E198" s="41" t="s">
        <v>12</v>
      </c>
      <c r="F198" s="42">
        <v>4</v>
      </c>
      <c r="G198" s="43"/>
      <c r="H198" s="43"/>
      <c r="I198" s="15"/>
    </row>
    <row r="199" spans="1:9" ht="30" customHeight="1">
      <c r="A199" s="38" t="str">
        <f>A195&amp;".04"</f>
        <v>09.08.04</v>
      </c>
      <c r="B199" s="44" t="s">
        <v>630</v>
      </c>
      <c r="C199" s="44">
        <v>37558</v>
      </c>
      <c r="D199" s="38" t="s">
        <v>143</v>
      </c>
      <c r="E199" s="41" t="s">
        <v>12</v>
      </c>
      <c r="F199" s="42">
        <v>4</v>
      </c>
      <c r="G199" s="43"/>
      <c r="H199" s="43"/>
      <c r="I199" s="15"/>
    </row>
    <row r="200" spans="1:9" ht="30" customHeight="1">
      <c r="A200" s="38" t="str">
        <f>A195&amp;".05"</f>
        <v>09.08.05</v>
      </c>
      <c r="B200" s="44" t="s">
        <v>630</v>
      </c>
      <c r="C200" s="44">
        <v>37558</v>
      </c>
      <c r="D200" s="38" t="s">
        <v>144</v>
      </c>
      <c r="E200" s="41" t="s">
        <v>12</v>
      </c>
      <c r="F200" s="42">
        <v>1</v>
      </c>
      <c r="G200" s="43"/>
      <c r="H200" s="43"/>
      <c r="I200" s="15"/>
    </row>
    <row r="201" spans="1:9" ht="30" customHeight="1">
      <c r="A201" s="77" t="str">
        <f>A136&amp;"9"</f>
        <v>09.09</v>
      </c>
      <c r="B201" s="77"/>
      <c r="C201" s="77"/>
      <c r="D201" s="77" t="s">
        <v>214</v>
      </c>
      <c r="E201" s="77"/>
      <c r="F201" s="77"/>
      <c r="G201" s="77"/>
      <c r="H201" s="77"/>
      <c r="I201" s="15"/>
    </row>
    <row r="202" spans="1:9" ht="30" customHeight="1">
      <c r="A202" s="38" t="str">
        <f>A201&amp;".01"</f>
        <v>09.09.01</v>
      </c>
      <c r="B202" s="44" t="s">
        <v>630</v>
      </c>
      <c r="C202" s="44">
        <v>37558</v>
      </c>
      <c r="D202" s="38" t="s">
        <v>145</v>
      </c>
      <c r="E202" s="41" t="s">
        <v>12</v>
      </c>
      <c r="F202" s="42">
        <v>1</v>
      </c>
      <c r="G202" s="43"/>
      <c r="H202" s="43"/>
      <c r="I202" s="15"/>
    </row>
    <row r="203" spans="1:9" ht="30" customHeight="1">
      <c r="A203" s="38" t="str">
        <f>A201&amp;".02"</f>
        <v>09.09.02</v>
      </c>
      <c r="B203" s="44" t="s">
        <v>630</v>
      </c>
      <c r="C203" s="44">
        <v>37558</v>
      </c>
      <c r="D203" s="38" t="s">
        <v>146</v>
      </c>
      <c r="E203" s="41" t="s">
        <v>12</v>
      </c>
      <c r="F203" s="42">
        <v>1</v>
      </c>
      <c r="G203" s="43"/>
      <c r="H203" s="43"/>
      <c r="I203" s="15"/>
    </row>
    <row r="204" spans="1:9" ht="30" customHeight="1">
      <c r="A204" s="38" t="str">
        <f>A201&amp;".03"</f>
        <v>09.09.03</v>
      </c>
      <c r="B204" s="44" t="s">
        <v>630</v>
      </c>
      <c r="C204" s="44">
        <v>37558</v>
      </c>
      <c r="D204" s="38" t="s">
        <v>147</v>
      </c>
      <c r="E204" s="41" t="s">
        <v>12</v>
      </c>
      <c r="F204" s="42">
        <v>1</v>
      </c>
      <c r="G204" s="43"/>
      <c r="H204" s="43"/>
      <c r="I204" s="15"/>
    </row>
    <row r="205" spans="1:9" ht="30" customHeight="1">
      <c r="A205" s="35" t="s">
        <v>350</v>
      </c>
      <c r="B205" s="35"/>
      <c r="C205" s="35"/>
      <c r="D205" s="36" t="s">
        <v>521</v>
      </c>
      <c r="E205" s="36"/>
      <c r="F205" s="36"/>
      <c r="G205" s="36"/>
      <c r="H205" s="37"/>
      <c r="I205" s="15"/>
    </row>
    <row r="206" spans="1:9" ht="30" customHeight="1">
      <c r="A206" s="77" t="str">
        <f>A205&amp;"1"</f>
        <v>10.01</v>
      </c>
      <c r="B206" s="77"/>
      <c r="C206" s="77"/>
      <c r="D206" s="77" t="s">
        <v>449</v>
      </c>
      <c r="E206" s="77"/>
      <c r="F206" s="77"/>
      <c r="G206" s="77"/>
      <c r="H206" s="77"/>
      <c r="I206" s="15"/>
    </row>
    <row r="207" spans="1:9" ht="47.25" customHeight="1">
      <c r="A207" s="38" t="str">
        <f>A206&amp;".01"</f>
        <v>10.01.01</v>
      </c>
      <c r="B207" s="44" t="s">
        <v>630</v>
      </c>
      <c r="C207" s="39">
        <v>92367</v>
      </c>
      <c r="D207" s="40" t="s">
        <v>114</v>
      </c>
      <c r="E207" s="41" t="s">
        <v>18</v>
      </c>
      <c r="F207" s="42">
        <v>150</v>
      </c>
      <c r="G207" s="43"/>
      <c r="H207" s="43"/>
      <c r="I207" s="15"/>
    </row>
    <row r="208" spans="1:9" ht="47.25" customHeight="1">
      <c r="A208" s="38" t="str">
        <f>A206&amp;".02"</f>
        <v>10.01.02</v>
      </c>
      <c r="B208" s="44" t="s">
        <v>630</v>
      </c>
      <c r="C208" s="39">
        <v>100723</v>
      </c>
      <c r="D208" s="40" t="s">
        <v>351</v>
      </c>
      <c r="E208" s="41" t="s">
        <v>90</v>
      </c>
      <c r="F208" s="42">
        <v>315</v>
      </c>
      <c r="G208" s="43"/>
      <c r="H208" s="43"/>
      <c r="I208" s="15"/>
    </row>
    <row r="209" spans="1:9" ht="47.25" customHeight="1">
      <c r="A209" s="38" t="str">
        <f>A206&amp;".03"</f>
        <v>10.01.03</v>
      </c>
      <c r="B209" s="44" t="s">
        <v>630</v>
      </c>
      <c r="C209" s="39" t="s">
        <v>353</v>
      </c>
      <c r="D209" s="40" t="s">
        <v>354</v>
      </c>
      <c r="E209" s="41" t="s">
        <v>18</v>
      </c>
      <c r="F209" s="42">
        <v>12</v>
      </c>
      <c r="G209" s="43"/>
      <c r="H209" s="43"/>
      <c r="I209" s="15"/>
    </row>
    <row r="210" spans="1:9" ht="47.25" customHeight="1">
      <c r="A210" s="38" t="str">
        <f>A206&amp;".04"</f>
        <v>10.01.04</v>
      </c>
      <c r="B210" s="44" t="s">
        <v>630</v>
      </c>
      <c r="C210" s="39">
        <v>92390</v>
      </c>
      <c r="D210" s="40" t="s">
        <v>355</v>
      </c>
      <c r="E210" s="41" t="s">
        <v>12</v>
      </c>
      <c r="F210" s="42">
        <v>15</v>
      </c>
      <c r="G210" s="43"/>
      <c r="H210" s="43"/>
      <c r="I210" s="15"/>
    </row>
    <row r="211" spans="1:9" ht="47.25" customHeight="1">
      <c r="A211" s="38" t="str">
        <f>A206&amp;".05"</f>
        <v>10.01.05</v>
      </c>
      <c r="B211" s="44" t="s">
        <v>630</v>
      </c>
      <c r="C211" s="39" t="s">
        <v>356</v>
      </c>
      <c r="D211" s="40" t="s">
        <v>357</v>
      </c>
      <c r="E211" s="41" t="s">
        <v>12</v>
      </c>
      <c r="F211" s="42">
        <v>6</v>
      </c>
      <c r="G211" s="43"/>
      <c r="H211" s="43"/>
      <c r="I211" s="15"/>
    </row>
    <row r="212" spans="1:9" ht="47.25" customHeight="1">
      <c r="A212" s="38" t="str">
        <f>A206&amp;".06"</f>
        <v>10.01.06</v>
      </c>
      <c r="B212" s="44" t="s">
        <v>630</v>
      </c>
      <c r="C212" s="39">
        <v>92642</v>
      </c>
      <c r="D212" s="40" t="s">
        <v>358</v>
      </c>
      <c r="E212" s="41" t="s">
        <v>12</v>
      </c>
      <c r="F212" s="42">
        <v>6</v>
      </c>
      <c r="G212" s="43"/>
      <c r="H212" s="43"/>
      <c r="I212" s="15"/>
    </row>
    <row r="213" spans="1:9" ht="30" customHeight="1">
      <c r="A213" s="77" t="str">
        <f>A205&amp;"2"</f>
        <v>10.02</v>
      </c>
      <c r="B213" s="77"/>
      <c r="C213" s="77"/>
      <c r="D213" s="77" t="s">
        <v>210</v>
      </c>
      <c r="E213" s="77"/>
      <c r="F213" s="77"/>
      <c r="G213" s="77"/>
      <c r="H213" s="77"/>
      <c r="I213" s="15"/>
    </row>
    <row r="214" spans="1:9" ht="47.25" customHeight="1">
      <c r="A214" s="38" t="str">
        <f>A213&amp;".01"</f>
        <v>10.02.01</v>
      </c>
      <c r="B214" s="44" t="s">
        <v>630</v>
      </c>
      <c r="C214" s="39">
        <v>96765</v>
      </c>
      <c r="D214" s="40" t="s">
        <v>115</v>
      </c>
      <c r="E214" s="41" t="s">
        <v>12</v>
      </c>
      <c r="F214" s="42">
        <v>4</v>
      </c>
      <c r="G214" s="43"/>
      <c r="H214" s="43"/>
      <c r="I214" s="15"/>
    </row>
    <row r="215" spans="1:9" ht="30" customHeight="1">
      <c r="A215" s="77" t="str">
        <f>A205&amp;"3"</f>
        <v>10.03</v>
      </c>
      <c r="B215" s="77"/>
      <c r="C215" s="77"/>
      <c r="D215" s="77" t="s">
        <v>211</v>
      </c>
      <c r="E215" s="77"/>
      <c r="F215" s="77"/>
      <c r="G215" s="77"/>
      <c r="H215" s="77"/>
      <c r="I215" s="15"/>
    </row>
    <row r="216" spans="1:9" ht="30" customHeight="1">
      <c r="A216" s="38" t="str">
        <f>A215&amp;".01"</f>
        <v>10.03.01</v>
      </c>
      <c r="B216" s="44" t="s">
        <v>630</v>
      </c>
      <c r="C216" s="39">
        <v>102118</v>
      </c>
      <c r="D216" s="40" t="s">
        <v>116</v>
      </c>
      <c r="E216" s="41" t="s">
        <v>12</v>
      </c>
      <c r="F216" s="42">
        <v>1</v>
      </c>
      <c r="G216" s="43"/>
      <c r="H216" s="43"/>
      <c r="I216" s="15"/>
    </row>
    <row r="217" spans="1:9" ht="30" customHeight="1">
      <c r="A217" s="38" t="str">
        <f>A215&amp;".02"</f>
        <v>10.03.02</v>
      </c>
      <c r="B217" s="44" t="s">
        <v>630</v>
      </c>
      <c r="C217" s="39">
        <v>102122</v>
      </c>
      <c r="D217" s="40" t="s">
        <v>209</v>
      </c>
      <c r="E217" s="41" t="s">
        <v>12</v>
      </c>
      <c r="F217" s="42">
        <v>2</v>
      </c>
      <c r="G217" s="43"/>
      <c r="H217" s="43"/>
      <c r="I217" s="15"/>
    </row>
    <row r="218" spans="1:9" ht="30" customHeight="1">
      <c r="A218" s="77" t="str">
        <f>A205&amp;"4"</f>
        <v>10.04</v>
      </c>
      <c r="B218" s="77"/>
      <c r="C218" s="77"/>
      <c r="D218" s="77" t="s">
        <v>212</v>
      </c>
      <c r="E218" s="77"/>
      <c r="F218" s="77"/>
      <c r="G218" s="77"/>
      <c r="H218" s="77"/>
      <c r="I218" s="15"/>
    </row>
    <row r="219" spans="1:9" ht="30" customHeight="1">
      <c r="A219" s="38" t="str">
        <f>A218&amp;".01"</f>
        <v>10.04.01</v>
      </c>
      <c r="B219" s="44" t="s">
        <v>630</v>
      </c>
      <c r="C219" s="44">
        <v>37558</v>
      </c>
      <c r="D219" s="38" t="s">
        <v>438</v>
      </c>
      <c r="E219" s="41" t="s">
        <v>12</v>
      </c>
      <c r="F219" s="42">
        <v>6</v>
      </c>
      <c r="G219" s="43"/>
      <c r="H219" s="43"/>
      <c r="I219" s="15"/>
    </row>
    <row r="220" spans="1:9" ht="50.25" customHeight="1">
      <c r="A220" s="38" t="str">
        <f>A218&amp;".02"</f>
        <v>10.04.02</v>
      </c>
      <c r="B220" s="44" t="s">
        <v>630</v>
      </c>
      <c r="C220" s="44">
        <v>37558</v>
      </c>
      <c r="D220" s="38" t="s">
        <v>439</v>
      </c>
      <c r="E220" s="41" t="s">
        <v>12</v>
      </c>
      <c r="F220" s="42">
        <v>6</v>
      </c>
      <c r="G220" s="43"/>
      <c r="H220" s="43"/>
      <c r="I220" s="15"/>
    </row>
    <row r="221" spans="1:9" ht="45.75" customHeight="1">
      <c r="A221" s="38" t="str">
        <f>A218&amp;".03"</f>
        <v>10.04.03</v>
      </c>
      <c r="B221" s="44" t="s">
        <v>630</v>
      </c>
      <c r="C221" s="44">
        <v>37558</v>
      </c>
      <c r="D221" s="38" t="s">
        <v>440</v>
      </c>
      <c r="E221" s="41" t="s">
        <v>12</v>
      </c>
      <c r="F221" s="42">
        <v>6</v>
      </c>
      <c r="G221" s="43"/>
      <c r="H221" s="43"/>
      <c r="I221" s="15"/>
    </row>
    <row r="222" spans="1:9" ht="30" customHeight="1">
      <c r="A222" s="38" t="str">
        <f>A218&amp;".04"</f>
        <v>10.04.04</v>
      </c>
      <c r="B222" s="44" t="s">
        <v>630</v>
      </c>
      <c r="C222" s="44">
        <v>37558</v>
      </c>
      <c r="D222" s="38" t="s">
        <v>441</v>
      </c>
      <c r="E222" s="41" t="s">
        <v>12</v>
      </c>
      <c r="F222" s="42">
        <v>5</v>
      </c>
      <c r="G222" s="43"/>
      <c r="H222" s="43"/>
      <c r="I222" s="15"/>
    </row>
    <row r="223" spans="1:9" ht="30" customHeight="1">
      <c r="A223" s="77" t="str">
        <f>A205&amp;"5"</f>
        <v>10.05</v>
      </c>
      <c r="B223" s="77"/>
      <c r="C223" s="77"/>
      <c r="D223" s="77" t="s">
        <v>400</v>
      </c>
      <c r="E223" s="77"/>
      <c r="F223" s="77"/>
      <c r="G223" s="77"/>
      <c r="H223" s="77"/>
      <c r="I223" s="15"/>
    </row>
    <row r="224" spans="1:9" ht="30" customHeight="1">
      <c r="A224" s="38" t="str">
        <f>A223&amp;".01"</f>
        <v>10.05.01</v>
      </c>
      <c r="B224" s="44" t="s">
        <v>48</v>
      </c>
      <c r="C224" s="44" t="str">
        <f>COMPOSIÇÕES!B412</f>
        <v>CP 019</v>
      </c>
      <c r="D224" s="38" t="str">
        <f>COMPOSIÇÕES!C412</f>
        <v>QUADRO DE COMANDO PARA SISTEMA DE BOMBAS DE INCÊNDIO, METÁLICO, DIMENSÕES: 800X500X120 MM –  COMPLETO –  FORNECIMENTO E INSTALAÇÃO </v>
      </c>
      <c r="E224" s="41" t="s">
        <v>12</v>
      </c>
      <c r="F224" s="42">
        <v>1</v>
      </c>
      <c r="G224" s="43"/>
      <c r="H224" s="43"/>
      <c r="I224" s="15"/>
    </row>
    <row r="225" spans="1:9" ht="30" customHeight="1">
      <c r="A225" s="38" t="str">
        <f>A223&amp;".02"</f>
        <v>10.05.02</v>
      </c>
      <c r="B225" s="44" t="s">
        <v>630</v>
      </c>
      <c r="C225" s="39">
        <v>91924</v>
      </c>
      <c r="D225" s="40" t="s">
        <v>401</v>
      </c>
      <c r="E225" s="41" t="s">
        <v>18</v>
      </c>
      <c r="F225" s="42">
        <v>100</v>
      </c>
      <c r="G225" s="43"/>
      <c r="H225" s="43"/>
      <c r="I225" s="15"/>
    </row>
    <row r="226" spans="1:9" ht="30" customHeight="1">
      <c r="A226" s="38" t="str">
        <f>A223&amp;".03"</f>
        <v>10.05.03</v>
      </c>
      <c r="B226" s="44" t="s">
        <v>630</v>
      </c>
      <c r="C226" s="39">
        <v>91926</v>
      </c>
      <c r="D226" s="40" t="s">
        <v>340</v>
      </c>
      <c r="E226" s="41" t="s">
        <v>18</v>
      </c>
      <c r="F226" s="42">
        <v>50</v>
      </c>
      <c r="G226" s="43"/>
      <c r="H226" s="43"/>
      <c r="I226" s="15"/>
    </row>
    <row r="227" spans="1:9" ht="30" customHeight="1">
      <c r="A227" s="38" t="str">
        <f>A223&amp;".04"</f>
        <v>10.05.04</v>
      </c>
      <c r="B227" s="44" t="s">
        <v>630</v>
      </c>
      <c r="C227" s="39">
        <v>91930</v>
      </c>
      <c r="D227" s="40" t="s">
        <v>338</v>
      </c>
      <c r="E227" s="41" t="s">
        <v>18</v>
      </c>
      <c r="F227" s="42">
        <v>50</v>
      </c>
      <c r="G227" s="43"/>
      <c r="H227" s="43"/>
      <c r="I227" s="15"/>
    </row>
    <row r="228" spans="1:9" ht="30" customHeight="1">
      <c r="A228" s="38" t="str">
        <f>A223&amp;".05"</f>
        <v>10.05.05</v>
      </c>
      <c r="B228" s="44" t="s">
        <v>630</v>
      </c>
      <c r="C228" s="39">
        <v>92982</v>
      </c>
      <c r="D228" s="40" t="s">
        <v>476</v>
      </c>
      <c r="E228" s="41" t="s">
        <v>18</v>
      </c>
      <c r="F228" s="42">
        <v>550</v>
      </c>
      <c r="G228" s="43"/>
      <c r="H228" s="43"/>
      <c r="I228" s="15"/>
    </row>
    <row r="229" spans="1:9" ht="30" customHeight="1">
      <c r="A229" s="77" t="str">
        <f>A205&amp;"6"</f>
        <v>10.06</v>
      </c>
      <c r="B229" s="77"/>
      <c r="C229" s="77"/>
      <c r="D229" s="77" t="s">
        <v>402</v>
      </c>
      <c r="E229" s="41"/>
      <c r="F229" s="77"/>
      <c r="G229" s="77"/>
      <c r="H229" s="77"/>
      <c r="I229" s="15"/>
    </row>
    <row r="230" spans="1:9" ht="30" customHeight="1">
      <c r="A230" s="38" t="str">
        <f>A229&amp;".01"</f>
        <v>10.06.01</v>
      </c>
      <c r="B230" s="44" t="s">
        <v>48</v>
      </c>
      <c r="C230" s="44" t="str">
        <f>COMPOSIÇÕES!B444</f>
        <v>CP 021</v>
      </c>
      <c r="D230" s="38" t="s">
        <v>403</v>
      </c>
      <c r="E230" s="41" t="s">
        <v>12</v>
      </c>
      <c r="F230" s="42">
        <v>15</v>
      </c>
      <c r="G230" s="43"/>
      <c r="H230" s="43"/>
      <c r="I230" s="15"/>
    </row>
    <row r="231" spans="1:9" ht="30" customHeight="1">
      <c r="A231" s="38" t="str">
        <f>A229&amp;".02"</f>
        <v>10.06.02</v>
      </c>
      <c r="B231" s="44" t="s">
        <v>48</v>
      </c>
      <c r="C231" s="44" t="str">
        <f>COMPOSIÇÕES!B437</f>
        <v>CP 020</v>
      </c>
      <c r="D231" s="38" t="str">
        <f>COMPOSIÇÕES!C437</f>
        <v>BLOCO DE ILUMINAÇÃO AUTÔNOMO BLA 2200 - FORNECIMENTO E INSTALAÇÃO</v>
      </c>
      <c r="E231" s="41" t="s">
        <v>12</v>
      </c>
      <c r="F231" s="42">
        <v>15</v>
      </c>
      <c r="G231" s="43"/>
      <c r="H231" s="43"/>
      <c r="I231" s="15"/>
    </row>
    <row r="232" spans="1:9" ht="30" customHeight="1">
      <c r="A232" s="77" t="str">
        <f>A205&amp;"7"</f>
        <v>10.07</v>
      </c>
      <c r="B232" s="77"/>
      <c r="C232" s="77"/>
      <c r="D232" s="77" t="s">
        <v>535</v>
      </c>
      <c r="E232" s="77"/>
      <c r="F232" s="42"/>
      <c r="G232" s="77"/>
      <c r="H232" s="77"/>
      <c r="I232" s="15"/>
    </row>
    <row r="233" spans="1:9" ht="30" customHeight="1">
      <c r="A233" s="38" t="str">
        <f>A232&amp;".01"</f>
        <v>10.07.01</v>
      </c>
      <c r="B233" s="44" t="s">
        <v>48</v>
      </c>
      <c r="C233" s="44" t="str">
        <f>COMPOSIÇÕES!B463</f>
        <v>CP 022</v>
      </c>
      <c r="D233" s="93" t="str">
        <f>COMPOSIÇÕES!C463</f>
        <v>ACIONADOR MANUAL ENDEREÇÁVEL AME 521 INTELBRAS - FORNECIMENTO E INSTALAÇÃO</v>
      </c>
      <c r="E233" s="41" t="s">
        <v>12</v>
      </c>
      <c r="F233" s="42">
        <v>6</v>
      </c>
      <c r="G233" s="43"/>
      <c r="H233" s="43"/>
      <c r="I233" s="15"/>
    </row>
    <row r="234" spans="1:9" ht="30" customHeight="1">
      <c r="A234" s="38" t="str">
        <f>A232&amp;".02"</f>
        <v>10.07.02</v>
      </c>
      <c r="B234" s="44" t="s">
        <v>48</v>
      </c>
      <c r="C234" s="44" t="str">
        <f>COMPOSIÇÕES!B477</f>
        <v>CP 023</v>
      </c>
      <c r="D234" s="38" t="s">
        <v>412</v>
      </c>
      <c r="E234" s="41" t="str">
        <f>COMPOSIÇÕES!D477</f>
        <v>M</v>
      </c>
      <c r="F234" s="42">
        <v>470</v>
      </c>
      <c r="G234" s="43"/>
      <c r="H234" s="43"/>
      <c r="I234" s="15"/>
    </row>
    <row r="235" spans="1:9" ht="30" customHeight="1">
      <c r="A235" s="38" t="str">
        <f>A232&amp;".03"</f>
        <v>10.07.03</v>
      </c>
      <c r="B235" s="44" t="s">
        <v>48</v>
      </c>
      <c r="C235" s="44" t="str">
        <f>COMPOSIÇÕES!B624</f>
        <v>CP 031</v>
      </c>
      <c r="D235" s="38" t="str">
        <f>COMPOSIÇÕES!C624</f>
        <v>DETECTOR DE FUMAÇA LINEAR 20 A 40 METROS DFL 3101 - INTELBRAS - FORNECIMENTO E INSTALAÇÃO</v>
      </c>
      <c r="E235" s="41" t="s">
        <v>12</v>
      </c>
      <c r="F235" s="42">
        <v>1</v>
      </c>
      <c r="G235" s="43"/>
      <c r="H235" s="43"/>
      <c r="I235" s="15"/>
    </row>
    <row r="236" spans="1:9" ht="30" customHeight="1">
      <c r="A236" s="38" t="str">
        <f>A232&amp;".04"</f>
        <v>10.07.04</v>
      </c>
      <c r="B236" s="44" t="s">
        <v>48</v>
      </c>
      <c r="C236" s="44" t="str">
        <f>COMPOSIÇÕES!B638</f>
        <v>CP 032</v>
      </c>
      <c r="D236" s="38" t="str">
        <f>COMPOSIÇÕES!C638</f>
        <v>DETECTOR DE FUMAÇA ENDEREÇÁVEL INTELBRAS DFE 520 - FORNECIMENTO E INSTALAÇÃO</v>
      </c>
      <c r="E236" s="41" t="s">
        <v>12</v>
      </c>
      <c r="F236" s="42">
        <v>6</v>
      </c>
      <c r="G236" s="43"/>
      <c r="H236" s="43"/>
      <c r="I236" s="15"/>
    </row>
    <row r="237" spans="1:9" ht="30" customHeight="1">
      <c r="A237" s="38" t="str">
        <f>A232&amp;".05"</f>
        <v>10.07.05</v>
      </c>
      <c r="B237" s="44" t="s">
        <v>48</v>
      </c>
      <c r="C237" s="44" t="str">
        <f>COMPOSIÇÕES!B491</f>
        <v>CP 024</v>
      </c>
      <c r="D237" s="38" t="str">
        <f>COMPOSIÇÕES!C484</f>
        <v>CENTRAL ALARME DE INCÊNDIO ENDEREÇÁVEL CIE 1125 INTELBRAS</v>
      </c>
      <c r="E237" s="41" t="s">
        <v>12</v>
      </c>
      <c r="F237" s="42">
        <v>1</v>
      </c>
      <c r="G237" s="43"/>
      <c r="H237" s="43"/>
      <c r="I237" s="15"/>
    </row>
    <row r="238" spans="1:9" ht="30" customHeight="1">
      <c r="A238" s="38" t="str">
        <f>A232&amp;".06"</f>
        <v>10.07.06</v>
      </c>
      <c r="B238" s="44" t="s">
        <v>48</v>
      </c>
      <c r="C238" s="44" t="str">
        <f>COMPOSIÇÕES!B505</f>
        <v>CP 025</v>
      </c>
      <c r="D238" s="38" t="str">
        <f>COMPOSIÇÕES!C505</f>
        <v>SIRENE AUDIO VISUAL PARA ALARME DE INCENDIO INTELBRAS - FORNECIMENTO E INSTALAÇÃO</v>
      </c>
      <c r="E238" s="41" t="s">
        <v>12</v>
      </c>
      <c r="F238" s="42">
        <v>4</v>
      </c>
      <c r="G238" s="43"/>
      <c r="H238" s="43"/>
      <c r="I238" s="15"/>
    </row>
    <row r="239" spans="1:9" ht="30" customHeight="1">
      <c r="A239" s="77" t="str">
        <f>A205&amp;"8"</f>
        <v>10.08</v>
      </c>
      <c r="B239" s="77"/>
      <c r="C239" s="77"/>
      <c r="D239" s="77" t="s">
        <v>359</v>
      </c>
      <c r="E239" s="77"/>
      <c r="F239" s="77"/>
      <c r="G239" s="77"/>
      <c r="H239" s="77"/>
      <c r="I239" s="15"/>
    </row>
    <row r="240" spans="1:9" ht="30" customHeight="1">
      <c r="A240" s="38" t="str">
        <f>A239&amp;".01"</f>
        <v>10.08.01</v>
      </c>
      <c r="B240" s="44" t="s">
        <v>630</v>
      </c>
      <c r="C240" s="44">
        <v>96973</v>
      </c>
      <c r="D240" s="38" t="s">
        <v>482</v>
      </c>
      <c r="E240" s="41" t="s">
        <v>18</v>
      </c>
      <c r="F240" s="42">
        <v>320</v>
      </c>
      <c r="G240" s="43"/>
      <c r="H240" s="43"/>
      <c r="I240" s="15"/>
    </row>
    <row r="241" spans="1:9" ht="30" customHeight="1">
      <c r="A241" s="38" t="str">
        <f>A239&amp;".02"</f>
        <v>10.08.02</v>
      </c>
      <c r="B241" s="44" t="s">
        <v>630</v>
      </c>
      <c r="C241" s="44">
        <v>96977</v>
      </c>
      <c r="D241" s="38" t="s">
        <v>504</v>
      </c>
      <c r="E241" s="41" t="s">
        <v>18</v>
      </c>
      <c r="F241" s="42">
        <f>150+25</f>
        <v>175</v>
      </c>
      <c r="G241" s="43"/>
      <c r="H241" s="43"/>
      <c r="I241" s="15"/>
    </row>
    <row r="242" spans="1:9" ht="30" customHeight="1">
      <c r="A242" s="38" t="str">
        <f>A239&amp;".03"</f>
        <v>10.08.03</v>
      </c>
      <c r="B242" s="44" t="s">
        <v>630</v>
      </c>
      <c r="C242" s="44">
        <v>2560</v>
      </c>
      <c r="D242" s="38" t="s">
        <v>506</v>
      </c>
      <c r="E242" s="41" t="s">
        <v>12</v>
      </c>
      <c r="F242" s="42">
        <v>10</v>
      </c>
      <c r="G242" s="43"/>
      <c r="H242" s="43"/>
      <c r="I242" s="15"/>
    </row>
    <row r="243" spans="1:9" ht="30" customHeight="1">
      <c r="A243" s="38" t="str">
        <f>A239&amp;".04"</f>
        <v>10.08.04</v>
      </c>
      <c r="B243" s="44" t="s">
        <v>630</v>
      </c>
      <c r="C243" s="44">
        <v>96985</v>
      </c>
      <c r="D243" s="38" t="s">
        <v>510</v>
      </c>
      <c r="E243" s="41" t="s">
        <v>12</v>
      </c>
      <c r="F243" s="42">
        <v>10</v>
      </c>
      <c r="G243" s="43"/>
      <c r="H243" s="43"/>
      <c r="I243" s="15"/>
    </row>
    <row r="244" spans="1:9" ht="30" customHeight="1">
      <c r="A244" s="38" t="str">
        <f>A239&amp;".05"</f>
        <v>10.08.05</v>
      </c>
      <c r="B244" s="44" t="s">
        <v>630</v>
      </c>
      <c r="C244" s="44">
        <v>93358</v>
      </c>
      <c r="D244" s="38" t="s">
        <v>514</v>
      </c>
      <c r="E244" s="41" t="s">
        <v>102</v>
      </c>
      <c r="F244" s="42">
        <f>0.6*0.6*0.5*209</f>
        <v>37.62</v>
      </c>
      <c r="G244" s="43"/>
      <c r="H244" s="43"/>
      <c r="I244" s="15"/>
    </row>
    <row r="245" spans="1:9" ht="30" customHeight="1">
      <c r="A245" s="38" t="str">
        <f>A239&amp;".06"</f>
        <v>10.08.06</v>
      </c>
      <c r="B245" s="44" t="s">
        <v>48</v>
      </c>
      <c r="C245" s="44" t="str">
        <f>COMPOSIÇÕES!B603</f>
        <v>CP 030</v>
      </c>
      <c r="D245" s="38" t="str">
        <f>COMPOSIÇÕES!C603</f>
        <v>INSTALAÇÃO DO SISTEMA DE SPDA NO GALPÃO DE OFICINAS</v>
      </c>
      <c r="E245" s="41" t="s">
        <v>12</v>
      </c>
      <c r="F245" s="42">
        <v>1</v>
      </c>
      <c r="G245" s="43"/>
      <c r="H245" s="43"/>
      <c r="I245" s="15"/>
    </row>
    <row r="246" spans="1:9" ht="30" customHeight="1">
      <c r="A246" s="38" t="str">
        <f>A239&amp;".07"</f>
        <v>10.08.07</v>
      </c>
      <c r="B246" s="44" t="s">
        <v>630</v>
      </c>
      <c r="C246" s="44" t="s">
        <v>516</v>
      </c>
      <c r="D246" s="38" t="s">
        <v>515</v>
      </c>
      <c r="E246" s="41" t="s">
        <v>12</v>
      </c>
      <c r="F246" s="42">
        <v>10</v>
      </c>
      <c r="G246" s="43"/>
      <c r="H246" s="43"/>
      <c r="I246" s="15"/>
    </row>
    <row r="247" spans="1:9" ht="30" customHeight="1">
      <c r="A247" s="38" t="str">
        <f>A239&amp;".08"</f>
        <v>10.08.08</v>
      </c>
      <c r="B247" s="44" t="s">
        <v>630</v>
      </c>
      <c r="C247" s="44">
        <v>93382</v>
      </c>
      <c r="D247" s="38" t="s">
        <v>518</v>
      </c>
      <c r="E247" s="41" t="s">
        <v>102</v>
      </c>
      <c r="F247" s="42">
        <f>F244</f>
        <v>37.62</v>
      </c>
      <c r="G247" s="43"/>
      <c r="H247" s="43"/>
      <c r="I247" s="15"/>
    </row>
    <row r="248" spans="1:9" ht="30" customHeight="1">
      <c r="A248" s="77" t="str">
        <f>A205&amp;"9"</f>
        <v>10.09</v>
      </c>
      <c r="B248" s="77"/>
      <c r="C248" s="77"/>
      <c r="D248" s="77" t="s">
        <v>463</v>
      </c>
      <c r="E248" s="77"/>
      <c r="F248" s="77"/>
      <c r="G248" s="77"/>
      <c r="H248" s="77"/>
      <c r="I248" s="15"/>
    </row>
    <row r="249" spans="1:9" ht="30" customHeight="1">
      <c r="A249" s="38" t="str">
        <f>A248&amp;".01"</f>
        <v>10.09.01</v>
      </c>
      <c r="B249" s="44" t="s">
        <v>630</v>
      </c>
      <c r="C249" s="44">
        <v>90778</v>
      </c>
      <c r="D249" s="38" t="s">
        <v>477</v>
      </c>
      <c r="E249" s="41" t="s">
        <v>17</v>
      </c>
      <c r="F249" s="42">
        <v>12</v>
      </c>
      <c r="G249" s="43"/>
      <c r="H249" s="43"/>
      <c r="I249" s="15"/>
    </row>
    <row r="250" spans="1:9" ht="30" customHeight="1">
      <c r="A250" s="38" t="str">
        <f>A248&amp;".02"</f>
        <v>10.09.02</v>
      </c>
      <c r="B250" s="44" t="s">
        <v>630</v>
      </c>
      <c r="C250" s="44">
        <v>90778</v>
      </c>
      <c r="D250" s="38" t="s">
        <v>472</v>
      </c>
      <c r="E250" s="41" t="s">
        <v>17</v>
      </c>
      <c r="F250" s="42">
        <v>12</v>
      </c>
      <c r="G250" s="43"/>
      <c r="H250" s="43"/>
      <c r="I250" s="15"/>
    </row>
    <row r="251" spans="1:9" ht="30" customHeight="1">
      <c r="A251" s="38" t="str">
        <f>A248&amp;".03"</f>
        <v>10.09.03</v>
      </c>
      <c r="B251" s="44" t="s">
        <v>630</v>
      </c>
      <c r="C251" s="44">
        <v>90778</v>
      </c>
      <c r="D251" s="38" t="s">
        <v>526</v>
      </c>
      <c r="E251" s="41" t="s">
        <v>17</v>
      </c>
      <c r="F251" s="42">
        <v>6</v>
      </c>
      <c r="G251" s="43"/>
      <c r="H251" s="43"/>
      <c r="I251" s="15"/>
    </row>
    <row r="252" spans="1:9" ht="30" customHeight="1">
      <c r="A252" s="38" t="str">
        <f>A248&amp;".04"</f>
        <v>10.09.04</v>
      </c>
      <c r="B252" s="44" t="s">
        <v>630</v>
      </c>
      <c r="C252" s="44">
        <v>90778</v>
      </c>
      <c r="D252" s="93" t="s">
        <v>522</v>
      </c>
      <c r="E252" s="41" t="s">
        <v>17</v>
      </c>
      <c r="F252" s="42">
        <v>6</v>
      </c>
      <c r="G252" s="43"/>
      <c r="H252" s="43"/>
      <c r="I252" s="15"/>
    </row>
    <row r="253" spans="1:9" ht="30" customHeight="1">
      <c r="A253" s="38" t="str">
        <f>A248&amp;".05"</f>
        <v>10.09.05</v>
      </c>
      <c r="B253" s="44" t="s">
        <v>48</v>
      </c>
      <c r="C253" s="44" t="str">
        <f>COMPOSIÇÕES!B550</f>
        <v>CP 029A</v>
      </c>
      <c r="D253" s="38" t="s">
        <v>466</v>
      </c>
      <c r="E253" s="41" t="s">
        <v>12</v>
      </c>
      <c r="F253" s="42">
        <v>8</v>
      </c>
      <c r="G253" s="43"/>
      <c r="H253" s="43"/>
      <c r="I253" s="15"/>
    </row>
    <row r="254" spans="1:9" ht="30" customHeight="1">
      <c r="A254" s="77" t="str">
        <f>A205&amp;"10"</f>
        <v>10.010</v>
      </c>
      <c r="B254" s="77"/>
      <c r="C254" s="77"/>
      <c r="D254" s="77" t="s">
        <v>213</v>
      </c>
      <c r="E254" s="77"/>
      <c r="F254" s="77"/>
      <c r="G254" s="77"/>
      <c r="H254" s="77"/>
      <c r="I254" s="15"/>
    </row>
    <row r="255" spans="1:9" ht="30" customHeight="1">
      <c r="A255" s="38" t="str">
        <f>A254&amp;".01"</f>
        <v>10.010.01</v>
      </c>
      <c r="B255" s="44" t="s">
        <v>630</v>
      </c>
      <c r="C255" s="44">
        <v>37558</v>
      </c>
      <c r="D255" s="38" t="s">
        <v>140</v>
      </c>
      <c r="E255" s="41" t="s">
        <v>12</v>
      </c>
      <c r="F255" s="42">
        <v>10</v>
      </c>
      <c r="G255" s="43"/>
      <c r="H255" s="43"/>
      <c r="I255" s="15"/>
    </row>
    <row r="256" spans="1:9" ht="30" customHeight="1">
      <c r="A256" s="38" t="str">
        <f>A254&amp;".02"</f>
        <v>10.010.02</v>
      </c>
      <c r="B256" s="44" t="s">
        <v>630</v>
      </c>
      <c r="C256" s="44">
        <v>37558</v>
      </c>
      <c r="D256" s="38" t="s">
        <v>141</v>
      </c>
      <c r="E256" s="41" t="s">
        <v>12</v>
      </c>
      <c r="F256" s="42">
        <v>4</v>
      </c>
      <c r="G256" s="43"/>
      <c r="H256" s="43"/>
      <c r="I256" s="15"/>
    </row>
    <row r="257" spans="1:9" ht="30" customHeight="1">
      <c r="A257" s="38" t="str">
        <f>A254&amp;".03"</f>
        <v>10.010.03</v>
      </c>
      <c r="B257" s="44" t="s">
        <v>630</v>
      </c>
      <c r="C257" s="44">
        <v>37558</v>
      </c>
      <c r="D257" s="38" t="s">
        <v>142</v>
      </c>
      <c r="E257" s="41" t="s">
        <v>12</v>
      </c>
      <c r="F257" s="42">
        <v>4</v>
      </c>
      <c r="G257" s="43"/>
      <c r="H257" s="43"/>
      <c r="I257" s="15"/>
    </row>
    <row r="258" spans="1:9" ht="30" customHeight="1">
      <c r="A258" s="38" t="str">
        <f>A254&amp;".04"</f>
        <v>10.010.04</v>
      </c>
      <c r="B258" s="44" t="s">
        <v>630</v>
      </c>
      <c r="C258" s="44">
        <v>37558</v>
      </c>
      <c r="D258" s="38" t="s">
        <v>143</v>
      </c>
      <c r="E258" s="41" t="s">
        <v>12</v>
      </c>
      <c r="F258" s="42">
        <v>4</v>
      </c>
      <c r="G258" s="43"/>
      <c r="H258" s="43"/>
      <c r="I258" s="15"/>
    </row>
    <row r="259" spans="1:9" ht="30" customHeight="1">
      <c r="A259" s="38" t="str">
        <f>A254&amp;".05"</f>
        <v>10.010.05</v>
      </c>
      <c r="B259" s="44" t="s">
        <v>630</v>
      </c>
      <c r="C259" s="44">
        <v>37558</v>
      </c>
      <c r="D259" s="38" t="s">
        <v>144</v>
      </c>
      <c r="E259" s="41" t="s">
        <v>12</v>
      </c>
      <c r="F259" s="42">
        <v>1</v>
      </c>
      <c r="G259" s="43"/>
      <c r="H259" s="43"/>
      <c r="I259" s="15"/>
    </row>
    <row r="260" spans="1:9" ht="30" customHeight="1">
      <c r="A260" s="77" t="str">
        <f>A205&amp;"11"</f>
        <v>10.011</v>
      </c>
      <c r="B260" s="77"/>
      <c r="C260" s="77"/>
      <c r="D260" s="77" t="s">
        <v>214</v>
      </c>
      <c r="E260" s="77"/>
      <c r="F260" s="77"/>
      <c r="G260" s="77"/>
      <c r="H260" s="77"/>
      <c r="I260" s="15"/>
    </row>
    <row r="261" spans="1:9" ht="30" customHeight="1">
      <c r="A261" s="38" t="str">
        <f>A260&amp;".01"</f>
        <v>10.011.01</v>
      </c>
      <c r="B261" s="44" t="s">
        <v>630</v>
      </c>
      <c r="C261" s="44">
        <v>37558</v>
      </c>
      <c r="D261" s="38" t="s">
        <v>145</v>
      </c>
      <c r="E261" s="41" t="s">
        <v>12</v>
      </c>
      <c r="F261" s="42">
        <v>1</v>
      </c>
      <c r="G261" s="43"/>
      <c r="H261" s="43"/>
      <c r="I261" s="15"/>
    </row>
    <row r="262" spans="1:9" ht="30" customHeight="1">
      <c r="A262" s="38" t="str">
        <f>A260&amp;".02"</f>
        <v>10.011.02</v>
      </c>
      <c r="B262" s="44" t="s">
        <v>630</v>
      </c>
      <c r="C262" s="44">
        <v>37558</v>
      </c>
      <c r="D262" s="38" t="s">
        <v>146</v>
      </c>
      <c r="E262" s="41" t="s">
        <v>12</v>
      </c>
      <c r="F262" s="42">
        <v>1</v>
      </c>
      <c r="G262" s="43"/>
      <c r="H262" s="43"/>
      <c r="I262" s="15"/>
    </row>
    <row r="263" spans="1:9" ht="30" customHeight="1">
      <c r="A263" s="38" t="str">
        <f>A260&amp;".03"</f>
        <v>10.011.03</v>
      </c>
      <c r="B263" s="44" t="s">
        <v>630</v>
      </c>
      <c r="C263" s="44">
        <v>37558</v>
      </c>
      <c r="D263" s="38" t="s">
        <v>147</v>
      </c>
      <c r="E263" s="41" t="s">
        <v>12</v>
      </c>
      <c r="F263" s="42">
        <v>1</v>
      </c>
      <c r="G263" s="43"/>
      <c r="H263" s="43"/>
      <c r="I263" s="15"/>
    </row>
    <row r="264" spans="1:9" ht="30" customHeight="1">
      <c r="A264" s="32"/>
      <c r="B264" s="32"/>
      <c r="C264" s="32"/>
      <c r="D264" s="33" t="s">
        <v>638</v>
      </c>
      <c r="E264" s="33"/>
      <c r="F264" s="33"/>
      <c r="G264" s="34"/>
      <c r="H264" s="34"/>
      <c r="I264" s="15"/>
    </row>
    <row r="265" spans="1:9" ht="30" customHeight="1">
      <c r="A265" s="35" t="s">
        <v>471</v>
      </c>
      <c r="B265" s="35"/>
      <c r="C265" s="35"/>
      <c r="D265" s="36" t="s">
        <v>639</v>
      </c>
      <c r="E265" s="36"/>
      <c r="F265" s="36"/>
      <c r="G265" s="36"/>
      <c r="H265" s="37"/>
      <c r="I265" s="15"/>
    </row>
    <row r="266" spans="1:9" ht="30" customHeight="1">
      <c r="A266" s="77" t="str">
        <f>A265&amp;"1"</f>
        <v>11.01</v>
      </c>
      <c r="B266" s="77"/>
      <c r="C266" s="77"/>
      <c r="D266" s="77" t="s">
        <v>641</v>
      </c>
      <c r="E266" s="77"/>
      <c r="F266" s="77"/>
      <c r="G266" s="77"/>
      <c r="H266" s="77"/>
      <c r="I266" s="15"/>
    </row>
    <row r="267" spans="1:9" ht="30" customHeight="1">
      <c r="A267" s="38" t="str">
        <f>A266&amp;".01"</f>
        <v>11.01.01</v>
      </c>
      <c r="B267" s="44" t="s">
        <v>48</v>
      </c>
      <c r="C267" s="39" t="str">
        <f>COMPOSIÇÕES!B41</f>
        <v>CP 004</v>
      </c>
      <c r="D267" s="40" t="str">
        <f>COMPOSIÇÕES!C41</f>
        <v>REMOÇÃO DO MEZANINO EXISTENTE, COM REAPROVEITAMENTO</v>
      </c>
      <c r="E267" s="41" t="s">
        <v>90</v>
      </c>
      <c r="F267" s="42">
        <v>723.19</v>
      </c>
      <c r="G267" s="43"/>
      <c r="H267" s="43"/>
      <c r="I267" s="15"/>
    </row>
    <row r="268" spans="1:9" ht="30" customHeight="1">
      <c r="A268" s="38" t="str">
        <f>A266&amp;".02"</f>
        <v>11.01.02</v>
      </c>
      <c r="B268" s="44" t="s">
        <v>630</v>
      </c>
      <c r="C268" s="39">
        <v>100275</v>
      </c>
      <c r="D268" s="40" t="s">
        <v>643</v>
      </c>
      <c r="E268" s="41" t="s">
        <v>642</v>
      </c>
      <c r="F268" s="42">
        <f>F267*24.6</f>
        <v>17790.474000000002</v>
      </c>
      <c r="G268" s="43"/>
      <c r="H268" s="43"/>
      <c r="I268" s="15"/>
    </row>
    <row r="269" spans="1:9" ht="30" customHeight="1">
      <c r="A269" s="77" t="str">
        <f>A265&amp;"2"</f>
        <v>11.02</v>
      </c>
      <c r="B269" s="77"/>
      <c r="C269" s="77"/>
      <c r="D269" s="77" t="s">
        <v>640</v>
      </c>
      <c r="E269" s="77"/>
      <c r="F269" s="77"/>
      <c r="G269" s="77"/>
      <c r="H269" s="77"/>
      <c r="I269" s="15"/>
    </row>
    <row r="270" spans="1:9" ht="30" customHeight="1">
      <c r="A270" s="38" t="str">
        <f>A269&amp;".01"</f>
        <v>11.02.01</v>
      </c>
      <c r="B270" s="44" t="s">
        <v>48</v>
      </c>
      <c r="C270" s="39" t="str">
        <f>COMPOSIÇÕES!B799</f>
        <v>CP 052</v>
      </c>
      <c r="D270" s="40" t="str">
        <f>COMPOSIÇÕES!C799</f>
        <v>INSTALAÇÃO DO MEZANINO NO NOVO GALPÃO</v>
      </c>
      <c r="E270" s="41" t="s">
        <v>90</v>
      </c>
      <c r="F270" s="42">
        <v>723.19</v>
      </c>
      <c r="G270" s="43"/>
      <c r="H270" s="43"/>
      <c r="I270" s="15"/>
    </row>
    <row r="271" spans="1:8" ht="21.75" customHeight="1">
      <c r="A271" s="32"/>
      <c r="B271" s="32"/>
      <c r="C271" s="32"/>
      <c r="D271" s="33" t="s">
        <v>53</v>
      </c>
      <c r="E271" s="33"/>
      <c r="F271" s="33"/>
      <c r="G271" s="34"/>
      <c r="H271" s="34"/>
    </row>
    <row r="272" spans="1:8" ht="21.75" customHeight="1">
      <c r="A272" s="35" t="s">
        <v>559</v>
      </c>
      <c r="B272" s="35"/>
      <c r="C272" s="35"/>
      <c r="D272" s="36" t="s">
        <v>19</v>
      </c>
      <c r="E272" s="36"/>
      <c r="F272" s="36"/>
      <c r="G272" s="36"/>
      <c r="H272" s="37"/>
    </row>
    <row r="273" spans="1:8" ht="21.75" customHeight="1">
      <c r="A273" s="77" t="str">
        <f>A272&amp;"1"</f>
        <v>12.01</v>
      </c>
      <c r="B273" s="77"/>
      <c r="C273" s="77"/>
      <c r="D273" s="77" t="s">
        <v>49</v>
      </c>
      <c r="E273" s="77"/>
      <c r="F273" s="77"/>
      <c r="G273" s="77"/>
      <c r="H273" s="77"/>
    </row>
    <row r="274" spans="1:9" ht="26.25" customHeight="1">
      <c r="A274" s="38" t="str">
        <f>A273&amp;".01"</f>
        <v>12.01.01</v>
      </c>
      <c r="B274" s="44" t="s">
        <v>630</v>
      </c>
      <c r="C274" s="39">
        <v>88316</v>
      </c>
      <c r="D274" s="40" t="s">
        <v>542</v>
      </c>
      <c r="E274" s="41" t="s">
        <v>17</v>
      </c>
      <c r="F274" s="42">
        <f>2*22*F12</f>
        <v>264</v>
      </c>
      <c r="G274" s="43"/>
      <c r="H274" s="43"/>
      <c r="I274" s="15"/>
    </row>
    <row r="275" spans="1:9" ht="21.75" customHeight="1">
      <c r="A275" s="76" t="s">
        <v>20</v>
      </c>
      <c r="B275" s="76"/>
      <c r="C275" s="76"/>
      <c r="D275" s="76"/>
      <c r="E275" s="76"/>
      <c r="F275" s="76"/>
      <c r="G275" s="76"/>
      <c r="H275" s="46"/>
      <c r="I275" s="88"/>
    </row>
    <row r="276" spans="1:8" ht="21.75" customHeight="1">
      <c r="A276" s="108" t="s">
        <v>21</v>
      </c>
      <c r="B276" s="108"/>
      <c r="C276" s="108"/>
      <c r="D276" s="108"/>
      <c r="E276" s="108"/>
      <c r="F276" s="108"/>
      <c r="G276" s="75"/>
      <c r="H276" s="46"/>
    </row>
    <row r="277" spans="1:8" ht="21.75" customHeight="1">
      <c r="A277" s="76" t="s">
        <v>22</v>
      </c>
      <c r="B277" s="76"/>
      <c r="C277" s="76"/>
      <c r="D277" s="76"/>
      <c r="E277" s="76"/>
      <c r="F277" s="76"/>
      <c r="G277" s="76"/>
      <c r="H277" s="46"/>
    </row>
    <row r="292" spans="2:11" s="1" customFormat="1" ht="13.5" customHeight="1">
      <c r="B292" s="2"/>
      <c r="C292" s="2"/>
      <c r="D292" s="3"/>
      <c r="E292" s="2"/>
      <c r="F292" s="4"/>
      <c r="G292" s="5"/>
      <c r="H292" s="5"/>
      <c r="I292" s="6"/>
      <c r="J292" s="6"/>
      <c r="K292" s="6"/>
    </row>
  </sheetData>
  <sheetProtection selectLockedCells="1" selectUnlockedCells="1"/>
  <mergeCells count="1">
    <mergeCell ref="A276:F276"/>
  </mergeCells>
  <conditionalFormatting sqref="A14">
    <cfRule type="duplicateValues" priority="122" dxfId="0" stopIfTrue="1">
      <formula>AND(COUNTIF($A$14:$A$14,A14)&gt;1,NOT(ISBLANK(A14)))</formula>
    </cfRule>
  </conditionalFormatting>
  <conditionalFormatting sqref="A5">
    <cfRule type="duplicateValues" priority="121" dxfId="0" stopIfTrue="1">
      <formula>AND(COUNTIF($A$5:$A$5,A5)&gt;1,NOT(ISBLANK(A5)))</formula>
    </cfRule>
  </conditionalFormatting>
  <conditionalFormatting sqref="A10 A12">
    <cfRule type="expression" priority="134" dxfId="12" stopIfTrue="1">
      <formula>AND(COUNTIF($A$10:$A$10,A10)+COUNTIF($A$12:$A$12,A10)&gt;1,NOT(ISBLANK(A10)))</formula>
    </cfRule>
  </conditionalFormatting>
  <conditionalFormatting sqref="A274">
    <cfRule type="duplicateValues" priority="120" dxfId="0" stopIfTrue="1">
      <formula>AND(COUNTIF($A$274:$A$274,A274)&gt;1,NOT(ISBLANK(A274)))</formula>
    </cfRule>
  </conditionalFormatting>
  <conditionalFormatting sqref="A274">
    <cfRule type="duplicateValues" priority="119" dxfId="0" stopIfTrue="1">
      <formula>AND(COUNTIF($A$274:$A$274,A274)&gt;1,NOT(ISBLANK(A274)))</formula>
    </cfRule>
  </conditionalFormatting>
  <conditionalFormatting sqref="A24:A26">
    <cfRule type="duplicateValues" priority="118" dxfId="0" stopIfTrue="1">
      <formula>AND(COUNTIF($A$24:$A$26,A24)&gt;1,NOT(ISBLANK(A24)))</formula>
    </cfRule>
  </conditionalFormatting>
  <conditionalFormatting sqref="A95 A90">
    <cfRule type="expression" priority="135" dxfId="12" stopIfTrue="1">
      <formula>AND(COUNTIF($A$95:$A$95,A90)+COUNTIF($A$90:$A$90,A90)&gt;1,NOT(ISBLANK(A90)))</formula>
    </cfRule>
  </conditionalFormatting>
  <conditionalFormatting sqref="A65">
    <cfRule type="duplicateValues" priority="117" dxfId="0" stopIfTrue="1">
      <formula>AND(COUNTIF($A$65:$A$65,A65)&gt;1,NOT(ISBLANK(A65)))</formula>
    </cfRule>
  </conditionalFormatting>
  <conditionalFormatting sqref="A93">
    <cfRule type="duplicateValues" priority="116" dxfId="0" stopIfTrue="1">
      <formula>AND(COUNTIF($A$93:$A$93,A93)&gt;1,NOT(ISBLANK(A93)))</formula>
    </cfRule>
  </conditionalFormatting>
  <conditionalFormatting sqref="A94">
    <cfRule type="duplicateValues" priority="115" dxfId="0" stopIfTrue="1">
      <formula>AND(COUNTIF($A$94:$A$94,A94)&gt;1,NOT(ISBLANK(A94)))</formula>
    </cfRule>
  </conditionalFormatting>
  <conditionalFormatting sqref="A53">
    <cfRule type="duplicateValues" priority="114" dxfId="0" stopIfTrue="1">
      <formula>AND(COUNTIF($A$53:$A$53,A53)&gt;1,NOT(ISBLANK(A53)))</formula>
    </cfRule>
  </conditionalFormatting>
  <conditionalFormatting sqref="A22">
    <cfRule type="duplicateValues" priority="113" dxfId="0" stopIfTrue="1">
      <formula>AND(COUNTIF($A$22:$A$22,A22)&gt;1,NOT(ISBLANK(A22)))</formula>
    </cfRule>
  </conditionalFormatting>
  <conditionalFormatting sqref="A84">
    <cfRule type="duplicateValues" priority="112" dxfId="0" stopIfTrue="1">
      <formula>AND(COUNTIF($A$84:$A$84,A84)&gt;1,NOT(ISBLANK(A84)))</formula>
    </cfRule>
  </conditionalFormatting>
  <conditionalFormatting sqref="A85 A88">
    <cfRule type="expression" priority="136" dxfId="12" stopIfTrue="1">
      <formula>AND(COUNTIF($A$85:$A$85,A85)+COUNTIF($A$88:$A$88,A85)&gt;1,NOT(ISBLANK(A85)))</formula>
    </cfRule>
  </conditionalFormatting>
  <conditionalFormatting sqref="A7:A8">
    <cfRule type="duplicateValues" priority="123" dxfId="0" stopIfTrue="1">
      <formula>AND(COUNTIF($A$7:$A$8,A7)&gt;1,NOT(ISBLANK(A7)))</formula>
    </cfRule>
  </conditionalFormatting>
  <conditionalFormatting sqref="A29:A31">
    <cfRule type="duplicateValues" priority="124" dxfId="0" stopIfTrue="1">
      <formula>AND(COUNTIF($A$29:$A$31,A29)&gt;1,NOT(ISBLANK(A29)))</formula>
    </cfRule>
  </conditionalFormatting>
  <conditionalFormatting sqref="A87">
    <cfRule type="duplicateValues" priority="111" dxfId="0" stopIfTrue="1">
      <formula>AND(COUNTIF($A$87:$A$87,A87)&gt;1,NOT(ISBLANK(A87)))</formula>
    </cfRule>
  </conditionalFormatting>
  <conditionalFormatting sqref="A86">
    <cfRule type="duplicateValues" priority="110" dxfId="0" stopIfTrue="1">
      <formula>AND(COUNTIF($A$86:$A$86,A86)&gt;1,NOT(ISBLANK(A86)))</formula>
    </cfRule>
  </conditionalFormatting>
  <conditionalFormatting sqref="A89">
    <cfRule type="duplicateValues" priority="109" dxfId="0" stopIfTrue="1">
      <formula>AND(COUNTIF($A$89:$A$89,A89)&gt;1,NOT(ISBLANK(A89)))</formula>
    </cfRule>
  </conditionalFormatting>
  <conditionalFormatting sqref="A59:A61">
    <cfRule type="expression" priority="137" dxfId="12" stopIfTrue="1">
      <formula>AND(COUNTIF($A$59:$A$60,A59)+COUNTIF($A$61:$A$61,A59)&gt;1,NOT(ISBLANK(A59)))</formula>
    </cfRule>
  </conditionalFormatting>
  <conditionalFormatting sqref="A63">
    <cfRule type="duplicateValues" priority="108" dxfId="0" stopIfTrue="1">
      <formula>AND(COUNTIF($A$63:$A$63,A63)&gt;1,NOT(ISBLANK(A63)))</formula>
    </cfRule>
  </conditionalFormatting>
  <conditionalFormatting sqref="A64">
    <cfRule type="duplicateValues" priority="107" dxfId="0" stopIfTrue="1">
      <formula>AND(COUNTIF($A$64:$A$64,A64)&gt;1,NOT(ISBLANK(A64)))</formula>
    </cfRule>
  </conditionalFormatting>
  <conditionalFormatting sqref="A52">
    <cfRule type="duplicateValues" priority="106" dxfId="0" stopIfTrue="1">
      <formula>AND(COUNTIF($A$52:$A$52,A52)&gt;1,NOT(ISBLANK(A52)))</formula>
    </cfRule>
  </conditionalFormatting>
  <conditionalFormatting sqref="A44 A46:A49">
    <cfRule type="expression" priority="138" dxfId="12" stopIfTrue="1">
      <formula>AND(COUNTIF($A$44:$A$44,A44)+COUNTIF($A$46:$A$49,A44)&gt;1,NOT(ISBLANK(A44)))</formula>
    </cfRule>
  </conditionalFormatting>
  <conditionalFormatting sqref="A45:A46">
    <cfRule type="duplicateValues" priority="125" dxfId="0" stopIfTrue="1">
      <formula>AND(COUNTIF($A$45:$A$46,A45)&gt;1,NOT(ISBLANK(A45)))</formula>
    </cfRule>
  </conditionalFormatting>
  <conditionalFormatting sqref="A81">
    <cfRule type="duplicateValues" priority="105" dxfId="0" stopIfTrue="1">
      <formula>AND(COUNTIF($A$81:$A$81,A81)&gt;1,NOT(ISBLANK(A81)))</formula>
    </cfRule>
  </conditionalFormatting>
  <conditionalFormatting sqref="A16:A17">
    <cfRule type="duplicateValues" priority="126" dxfId="0" stopIfTrue="1">
      <formula>AND(COUNTIF($A$16:$A$17,A16)&gt;1,NOT(ISBLANK(A16)))</formula>
    </cfRule>
  </conditionalFormatting>
  <conditionalFormatting sqref="A39:A40">
    <cfRule type="duplicateValues" priority="104" dxfId="0" stopIfTrue="1">
      <formula>AND(COUNTIF($A$39:$A$40,A39)&gt;1,NOT(ISBLANK(A39)))</formula>
    </cfRule>
  </conditionalFormatting>
  <conditionalFormatting sqref="A41">
    <cfRule type="duplicateValues" priority="103" dxfId="0" stopIfTrue="1">
      <formula>AND(COUNTIF($A$41:$A$41,A41)&gt;1,NOT(ISBLANK(A41)))</formula>
    </cfRule>
  </conditionalFormatting>
  <conditionalFormatting sqref="A96:A97">
    <cfRule type="duplicateValues" priority="127" dxfId="0" stopIfTrue="1">
      <formula>AND(COUNTIF($A$96:$A$97,A96)&gt;1,NOT(ISBLANK(A96)))</formula>
    </cfRule>
  </conditionalFormatting>
  <conditionalFormatting sqref="A99">
    <cfRule type="duplicateValues" priority="102" dxfId="0" stopIfTrue="1">
      <formula>AND(COUNTIF($A$99:$A$99,A99)&gt;1,NOT(ISBLANK(A99)))</formula>
    </cfRule>
  </conditionalFormatting>
  <conditionalFormatting sqref="A126">
    <cfRule type="duplicateValues" priority="100" dxfId="0" stopIfTrue="1">
      <formula>AND(COUNTIF($A$126:$A$126,A126)&gt;1,NOT(ISBLANK(A126)))</formula>
    </cfRule>
  </conditionalFormatting>
  <conditionalFormatting sqref="A127">
    <cfRule type="duplicateValues" priority="99" dxfId="0" stopIfTrue="1">
      <formula>AND(COUNTIF($A$127:$A$127,A127)&gt;1,NOT(ISBLANK(A127)))</formula>
    </cfRule>
  </conditionalFormatting>
  <conditionalFormatting sqref="A128">
    <cfRule type="duplicateValues" priority="98" dxfId="0" stopIfTrue="1">
      <formula>AND(COUNTIF($A$128:$A$128,A128)&gt;1,NOT(ISBLANK(A128)))</formula>
    </cfRule>
  </conditionalFormatting>
  <conditionalFormatting sqref="A130">
    <cfRule type="duplicateValues" priority="101" dxfId="0" stopIfTrue="1">
      <formula>AND(COUNTIF($A$130:$A$130,A130)&gt;1,NOT(ISBLANK(A130)))</formula>
    </cfRule>
  </conditionalFormatting>
  <conditionalFormatting sqref="A112">
    <cfRule type="duplicateValues" priority="97" dxfId="0" stopIfTrue="1">
      <formula>AND(COUNTIF($A$112:$A$112,A112)&gt;1,NOT(ISBLANK(A112)))</formula>
    </cfRule>
  </conditionalFormatting>
  <conditionalFormatting sqref="A110">
    <cfRule type="duplicateValues" priority="96" dxfId="0" stopIfTrue="1">
      <formula>AND(COUNTIF($A$110:$A$110,A110)&gt;1,NOT(ISBLANK(A110)))</formula>
    </cfRule>
  </conditionalFormatting>
  <conditionalFormatting sqref="A111">
    <cfRule type="duplicateValues" priority="95" dxfId="0" stopIfTrue="1">
      <formula>AND(COUNTIF($A$111:$A$111,A111)&gt;1,NOT(ISBLANK(A111)))</formula>
    </cfRule>
  </conditionalFormatting>
  <conditionalFormatting sqref="A133">
    <cfRule type="duplicateValues" priority="93" dxfId="0" stopIfTrue="1">
      <formula>AND(COUNTIF($A$133:$A$133,A133)&gt;1,NOT(ISBLANK(A133)))</formula>
    </cfRule>
  </conditionalFormatting>
  <conditionalFormatting sqref="A37">
    <cfRule type="duplicateValues" priority="92" dxfId="0" stopIfTrue="1">
      <formula>AND(COUNTIF($A$37:$A$37,A37)&gt;1,NOT(ISBLANK(A37)))</formula>
    </cfRule>
  </conditionalFormatting>
  <conditionalFormatting sqref="A33:A34">
    <cfRule type="duplicateValues" priority="91" dxfId="0" stopIfTrue="1">
      <formula>AND(COUNTIF($A$33:$A$34,A33)&gt;1,NOT(ISBLANK(A33)))</formula>
    </cfRule>
  </conditionalFormatting>
  <conditionalFormatting sqref="A35">
    <cfRule type="duplicateValues" priority="90" dxfId="0" stopIfTrue="1">
      <formula>AND(COUNTIF($A$35:$A$35,A35)&gt;1,NOT(ISBLANK(A35)))</formula>
    </cfRule>
  </conditionalFormatting>
  <conditionalFormatting sqref="A36">
    <cfRule type="duplicateValues" priority="89" dxfId="0" stopIfTrue="1">
      <formula>AND(COUNTIF($A$36:$A$36,A36)&gt;1,NOT(ISBLANK(A36)))</formula>
    </cfRule>
  </conditionalFormatting>
  <conditionalFormatting sqref="A108">
    <cfRule type="duplicateValues" priority="88" dxfId="0" stopIfTrue="1">
      <formula>AND(COUNTIF($A$108:$A$108,A108)&gt;1,NOT(ISBLANK(A108)))</formula>
    </cfRule>
  </conditionalFormatting>
  <conditionalFormatting sqref="A123">
    <cfRule type="duplicateValues" priority="87" dxfId="0" stopIfTrue="1">
      <formula>AND(COUNTIF($A$123:$A$123,A123)&gt;1,NOT(ISBLANK(A123)))</formula>
    </cfRule>
  </conditionalFormatting>
  <conditionalFormatting sqref="A124">
    <cfRule type="duplicateValues" priority="86" dxfId="0" stopIfTrue="1">
      <formula>AND(COUNTIF($A$124:$A$124,A124)&gt;1,NOT(ISBLANK(A124)))</formula>
    </cfRule>
  </conditionalFormatting>
  <conditionalFormatting sqref="A106">
    <cfRule type="duplicateValues" priority="85" dxfId="0" stopIfTrue="1">
      <formula>AND(COUNTIF($A$106:$A$106,A106)&gt;1,NOT(ISBLANK(A106)))</formula>
    </cfRule>
  </conditionalFormatting>
  <conditionalFormatting sqref="A101">
    <cfRule type="duplicateValues" priority="84" dxfId="0" stopIfTrue="1">
      <formula>AND(COUNTIF($A$101:$A$101,A101)&gt;1,NOT(ISBLANK(A101)))</formula>
    </cfRule>
  </conditionalFormatting>
  <conditionalFormatting sqref="A103:A104">
    <cfRule type="duplicateValues" priority="83" dxfId="0" stopIfTrue="1">
      <formula>AND(COUNTIF($A$103:$A$104,A103)&gt;1,NOT(ISBLANK(A103)))</formula>
    </cfRule>
  </conditionalFormatting>
  <conditionalFormatting sqref="A18">
    <cfRule type="duplicateValues" priority="82" dxfId="0" stopIfTrue="1">
      <formula>AND(COUNTIF($A$18:$A$18,A18)&gt;1,NOT(ISBLANK(A18)))</formula>
    </cfRule>
  </conditionalFormatting>
  <conditionalFormatting sqref="A102">
    <cfRule type="duplicateValues" priority="81" dxfId="0" stopIfTrue="1">
      <formula>AND(COUNTIF($A$102:$A$102,A102)&gt;1,NOT(ISBLANK(A102)))</formula>
    </cfRule>
  </conditionalFormatting>
  <conditionalFormatting sqref="A100">
    <cfRule type="duplicateValues" priority="80" dxfId="0" stopIfTrue="1">
      <formula>AND(COUNTIF($A$100:$A$100,A100)&gt;1,NOT(ISBLANK(A100)))</formula>
    </cfRule>
  </conditionalFormatting>
  <conditionalFormatting sqref="A121 A113:A119">
    <cfRule type="expression" priority="139" dxfId="12" stopIfTrue="1">
      <formula>AND(COUNTIF($A$113:$A$119,A113)+COUNTIF($A$121:$A$121,A113)&gt;1,NOT(ISBLANK(A113)))</formula>
    </cfRule>
  </conditionalFormatting>
  <conditionalFormatting sqref="A120">
    <cfRule type="duplicateValues" priority="79" dxfId="0" stopIfTrue="1">
      <formula>AND(COUNTIF($A$120:$A$120,A120)&gt;1,NOT(ISBLANK(A120)))</formula>
    </cfRule>
  </conditionalFormatting>
  <conditionalFormatting sqref="A19">
    <cfRule type="duplicateValues" priority="78" dxfId="0" stopIfTrue="1">
      <formula>AND(COUNTIF($A$19:$A$19,A19)&gt;1,NOT(ISBLANK(A19)))</formula>
    </cfRule>
  </conditionalFormatting>
  <conditionalFormatting sqref="A214">
    <cfRule type="duplicateValues" priority="75" dxfId="0" stopIfTrue="1">
      <formula>AND(COUNTIF($A$214:$A$214,A214)&gt;1,NOT(ISBLANK(A214)))</formula>
    </cfRule>
  </conditionalFormatting>
  <conditionalFormatting sqref="A259 A220:A222">
    <cfRule type="expression" priority="140" dxfId="12" stopIfTrue="1">
      <formula>AND(COUNTIF($A$259:$A$259,A220)+COUNTIF($A$220:$A$222,A220)&gt;1,NOT(ISBLANK(A220)))</formula>
    </cfRule>
  </conditionalFormatting>
  <conditionalFormatting sqref="A216:A217">
    <cfRule type="duplicateValues" priority="76" dxfId="0" stopIfTrue="1">
      <formula>AND(COUNTIF($A$216:$A$217,A216)&gt;1,NOT(ISBLANK(A216)))</formula>
    </cfRule>
  </conditionalFormatting>
  <conditionalFormatting sqref="A207 A209:A212">
    <cfRule type="expression" priority="141" dxfId="12" stopIfTrue="1">
      <formula>AND(COUNTIF($A$207:$A$207,A207)+COUNTIF($A$209:$A$212,A207)&gt;1,NOT(ISBLANK(A207)))</formula>
    </cfRule>
  </conditionalFormatting>
  <conditionalFormatting sqref="A219">
    <cfRule type="duplicateValues" priority="77" dxfId="0" stopIfTrue="1">
      <formula>AND(COUNTIF($A$219:$A$219,A219)&gt;1,NOT(ISBLANK(A219)))</formula>
    </cfRule>
  </conditionalFormatting>
  <conditionalFormatting sqref="A256:A258">
    <cfRule type="duplicateValues" priority="74" dxfId="0" stopIfTrue="1">
      <formula>AND(COUNTIF($A$256:$A$258,A256)&gt;1,NOT(ISBLANK(A256)))</formula>
    </cfRule>
  </conditionalFormatting>
  <conditionalFormatting sqref="A255">
    <cfRule type="duplicateValues" priority="73" dxfId="0" stopIfTrue="1">
      <formula>AND(COUNTIF($A$255:$A$255,A255)&gt;1,NOT(ISBLANK(A255)))</formula>
    </cfRule>
  </conditionalFormatting>
  <conditionalFormatting sqref="A262:A263">
    <cfRule type="duplicateValues" priority="72" dxfId="0" stopIfTrue="1">
      <formula>AND(COUNTIF($A$262:$A$263,A262)&gt;1,NOT(ISBLANK(A262)))</formula>
    </cfRule>
  </conditionalFormatting>
  <conditionalFormatting sqref="A261">
    <cfRule type="duplicateValues" priority="71" dxfId="0" stopIfTrue="1">
      <formula>AND(COUNTIF($A$261:$A$261,A261)&gt;1,NOT(ISBLANK(A261)))</formula>
    </cfRule>
  </conditionalFormatting>
  <conditionalFormatting sqref="A208">
    <cfRule type="duplicateValues" priority="70" dxfId="0" stopIfTrue="1">
      <formula>AND(COUNTIF($A$208:$A$208,A208)&gt;1,NOT(ISBLANK(A208)))</formula>
    </cfRule>
  </conditionalFormatting>
  <conditionalFormatting sqref="A226:A228">
    <cfRule type="duplicateValues" priority="69" dxfId="0" stopIfTrue="1">
      <formula>AND(COUNTIF($A$226:$A$228,A226)&gt;1,NOT(ISBLANK(A226)))</formula>
    </cfRule>
  </conditionalFormatting>
  <conditionalFormatting sqref="A224">
    <cfRule type="duplicateValues" priority="68" dxfId="0" stopIfTrue="1">
      <formula>AND(COUNTIF($A$224:$A$224,A224)&gt;1,NOT(ISBLANK(A224)))</formula>
    </cfRule>
  </conditionalFormatting>
  <conditionalFormatting sqref="A245:A247">
    <cfRule type="duplicateValues" priority="67" dxfId="0" stopIfTrue="1">
      <formula>AND(COUNTIF($A$245:$A$247,A245)&gt;1,NOT(ISBLANK(A245)))</formula>
    </cfRule>
  </conditionalFormatting>
  <conditionalFormatting sqref="A244">
    <cfRule type="duplicateValues" priority="66" dxfId="0" stopIfTrue="1">
      <formula>AND(COUNTIF($A$244:$A$244,A244)&gt;1,NOT(ISBLANK(A244)))</formula>
    </cfRule>
  </conditionalFormatting>
  <conditionalFormatting sqref="A253">
    <cfRule type="duplicateValues" priority="65" dxfId="0" stopIfTrue="1">
      <formula>AND(COUNTIF($A$253:$A$253,A253)&gt;1,NOT(ISBLANK(A253)))</formula>
    </cfRule>
  </conditionalFormatting>
  <conditionalFormatting sqref="A252 A250">
    <cfRule type="expression" priority="142" dxfId="12" stopIfTrue="1">
      <formula>AND(COUNTIF($A$252:$A$252,A250)+COUNTIF($A$250:$A$250,A250)&gt;1,NOT(ISBLANK(A250)))</formula>
    </cfRule>
  </conditionalFormatting>
  <conditionalFormatting sqref="A249">
    <cfRule type="duplicateValues" priority="64" dxfId="0" stopIfTrue="1">
      <formula>AND(COUNTIF($A$249:$A$249,A249)&gt;1,NOT(ISBLANK(A249)))</formula>
    </cfRule>
  </conditionalFormatting>
  <conditionalFormatting sqref="A225">
    <cfRule type="duplicateValues" priority="63" dxfId="0" stopIfTrue="1">
      <formula>AND(COUNTIF($A$225:$A$225,A225)&gt;1,NOT(ISBLANK(A225)))</formula>
    </cfRule>
  </conditionalFormatting>
  <conditionalFormatting sqref="A230">
    <cfRule type="duplicateValues" priority="62" dxfId="0" stopIfTrue="1">
      <formula>AND(COUNTIF($A$230:$A$230,A230)&gt;1,NOT(ISBLANK(A230)))</formula>
    </cfRule>
  </conditionalFormatting>
  <conditionalFormatting sqref="A234 A237:A238">
    <cfRule type="expression" priority="143" dxfId="12" stopIfTrue="1">
      <formula>AND(COUNTIF($A$234:$A$234,A234)+COUNTIF($A$237:$A$238,A234)&gt;1,NOT(ISBLANK(A234)))</formula>
    </cfRule>
  </conditionalFormatting>
  <conditionalFormatting sqref="A233">
    <cfRule type="duplicateValues" priority="61" dxfId="0" stopIfTrue="1">
      <formula>AND(COUNTIF($A$233:$A$233,A233)&gt;1,NOT(ISBLANK(A233)))</formula>
    </cfRule>
  </conditionalFormatting>
  <conditionalFormatting sqref="A200 A172:A174">
    <cfRule type="expression" priority="144" dxfId="12" stopIfTrue="1">
      <formula>AND(COUNTIF($A$200:$A$200,A172)+COUNTIF($A$172:$A$174,A172)&gt;1,NOT(ISBLANK(A172)))</formula>
    </cfRule>
  </conditionalFormatting>
  <conditionalFormatting sqref="A157:A158">
    <cfRule type="duplicateValues" priority="59" dxfId="0" stopIfTrue="1">
      <formula>AND(COUNTIF($A$157:$A$158,A157)&gt;1,NOT(ISBLANK(A157)))</formula>
    </cfRule>
  </conditionalFormatting>
  <conditionalFormatting sqref="A168">
    <cfRule type="duplicateValues" priority="60" dxfId="0" stopIfTrue="1">
      <formula>AND(COUNTIF($A$168:$A$168,A168)&gt;1,NOT(ISBLANK(A168)))</formula>
    </cfRule>
  </conditionalFormatting>
  <conditionalFormatting sqref="A197:A199">
    <cfRule type="duplicateValues" priority="58" dxfId="0" stopIfTrue="1">
      <formula>AND(COUNTIF($A$197:$A$199,A197)&gt;1,NOT(ISBLANK(A197)))</formula>
    </cfRule>
  </conditionalFormatting>
  <conditionalFormatting sqref="A196">
    <cfRule type="duplicateValues" priority="57" dxfId="0" stopIfTrue="1">
      <formula>AND(COUNTIF($A$196:$A$196,A196)&gt;1,NOT(ISBLANK(A196)))</formula>
    </cfRule>
  </conditionalFormatting>
  <conditionalFormatting sqref="A203:A204">
    <cfRule type="duplicateValues" priority="56" dxfId="0" stopIfTrue="1">
      <formula>AND(COUNTIF($A$203:$A$204,A203)&gt;1,NOT(ISBLANK(A203)))</formula>
    </cfRule>
  </conditionalFormatting>
  <conditionalFormatting sqref="A202">
    <cfRule type="duplicateValues" priority="55" dxfId="0" stopIfTrue="1">
      <formula>AND(COUNTIF($A$202:$A$202,A202)&gt;1,NOT(ISBLANK(A202)))</formula>
    </cfRule>
  </conditionalFormatting>
  <conditionalFormatting sqref="A176">
    <cfRule type="duplicateValues" priority="54" dxfId="0" stopIfTrue="1">
      <formula>AND(COUNTIF($A$176:$A$176,A176)&gt;1,NOT(ISBLANK(A176)))</formula>
    </cfRule>
  </conditionalFormatting>
  <conditionalFormatting sqref="A190">
    <cfRule type="duplicateValues" priority="53" dxfId="0" stopIfTrue="1">
      <formula>AND(COUNTIF($A$190:$A$190,A190)&gt;1,NOT(ISBLANK(A190)))</formula>
    </cfRule>
  </conditionalFormatting>
  <conditionalFormatting sqref="A194">
    <cfRule type="duplicateValues" priority="52" dxfId="0" stopIfTrue="1">
      <formula>AND(COUNTIF($A$194:$A$194,A194)&gt;1,NOT(ISBLANK(A194)))</formula>
    </cfRule>
  </conditionalFormatting>
  <conditionalFormatting sqref="A193">
    <cfRule type="duplicateValues" priority="51" dxfId="0" stopIfTrue="1">
      <formula>AND(COUNTIF($A$193:$A$193,A193)&gt;1,NOT(ISBLANK(A193)))</formula>
    </cfRule>
  </conditionalFormatting>
  <conditionalFormatting sqref="A177">
    <cfRule type="duplicateValues" priority="50" dxfId="0" stopIfTrue="1">
      <formula>AND(COUNTIF($A$177:$A$177,A177)&gt;1,NOT(ISBLANK(A177)))</formula>
    </cfRule>
  </conditionalFormatting>
  <conditionalFormatting sqref="A179">
    <cfRule type="duplicateValues" priority="49" dxfId="0" stopIfTrue="1">
      <formula>AND(COUNTIF($A$179:$A$179,A179)&gt;1,NOT(ISBLANK(A179)))</formula>
    </cfRule>
  </conditionalFormatting>
  <conditionalFormatting sqref="A186 A184 A188">
    <cfRule type="expression" priority="145" dxfId="12" stopIfTrue="1">
      <formula>AND(COUNTIF($A$186:$A$186,A184)+COUNTIF($A$184:$A$184,A184)+COUNTIF($A$188:$A$188,A184)&gt;1,NOT(ISBLANK(A184)))</formula>
    </cfRule>
  </conditionalFormatting>
  <conditionalFormatting sqref="A183">
    <cfRule type="duplicateValues" priority="48" dxfId="0" stopIfTrue="1">
      <formula>AND(COUNTIF($A$183:$A$183,A183)&gt;1,NOT(ISBLANK(A183)))</formula>
    </cfRule>
  </conditionalFormatting>
  <conditionalFormatting sqref="A151:A153">
    <cfRule type="duplicateValues" priority="47" dxfId="0" stopIfTrue="1">
      <formula>AND(COUNTIF($A$151:$A$153,A151)&gt;1,NOT(ISBLANK(A151)))</formula>
    </cfRule>
  </conditionalFormatting>
  <conditionalFormatting sqref="A161:A167">
    <cfRule type="duplicateValues" priority="46" dxfId="0" stopIfTrue="1">
      <formula>AND(COUNTIF($A$161:$A$167,A161)&gt;1,NOT(ISBLANK(A161)))</formula>
    </cfRule>
  </conditionalFormatting>
  <conditionalFormatting sqref="A160">
    <cfRule type="duplicateValues" priority="45" dxfId="0" stopIfTrue="1">
      <formula>AND(COUNTIF($A$160:$A$160,A160)&gt;1,NOT(ISBLANK(A160)))</formula>
    </cfRule>
  </conditionalFormatting>
  <conditionalFormatting sqref="A169:A171">
    <cfRule type="duplicateValues" priority="44" dxfId="0" stopIfTrue="1">
      <formula>AND(COUNTIF($A$169:$A$171,A169)&gt;1,NOT(ISBLANK(A169)))</formula>
    </cfRule>
  </conditionalFormatting>
  <conditionalFormatting sqref="A138:A146">
    <cfRule type="duplicateValues" priority="43" dxfId="0" stopIfTrue="1">
      <formula>AND(COUNTIF($A$138:$A$146,A138)&gt;1,NOT(ISBLANK(A138)))</formula>
    </cfRule>
  </conditionalFormatting>
  <conditionalFormatting sqref="A148:A149">
    <cfRule type="duplicateValues" priority="128" dxfId="0" stopIfTrue="1">
      <formula>AND(COUNTIF($A$148:$A$149,A148)&gt;1,NOT(ISBLANK(A148)))</formula>
    </cfRule>
  </conditionalFormatting>
  <conditionalFormatting sqref="A180:A181">
    <cfRule type="duplicateValues" priority="129" dxfId="0" stopIfTrue="1">
      <formula>AND(COUNTIF($A$180:$A$181,A180)&gt;1,NOT(ISBLANK(A180)))</formula>
    </cfRule>
  </conditionalFormatting>
  <conditionalFormatting sqref="A191">
    <cfRule type="duplicateValues" priority="130" dxfId="0" stopIfTrue="1">
      <formula>AND(COUNTIF($A$191:$A$191,A191)&gt;1,NOT(ISBLANK(A191)))</formula>
    </cfRule>
  </conditionalFormatting>
  <conditionalFormatting sqref="A231">
    <cfRule type="duplicateValues" priority="131" dxfId="0" stopIfTrue="1">
      <formula>AND(COUNTIF($A$231:$A$231,A231)&gt;1,NOT(ISBLANK(A231)))</formula>
    </cfRule>
  </conditionalFormatting>
  <conditionalFormatting sqref="A251">
    <cfRule type="duplicateValues" priority="42" dxfId="0" stopIfTrue="1">
      <formula>AND(COUNTIF($A$251:$A$251,A251)&gt;1,NOT(ISBLANK(A251)))</formula>
    </cfRule>
  </conditionalFormatting>
  <conditionalFormatting sqref="A155:A156">
    <cfRule type="duplicateValues" priority="132" dxfId="0" stopIfTrue="1">
      <formula>AND(COUNTIF($A$155:$A$156,A155)&gt;1,NOT(ISBLANK(A155)))</formula>
    </cfRule>
  </conditionalFormatting>
  <conditionalFormatting sqref="A21">
    <cfRule type="duplicateValues" priority="41" dxfId="0" stopIfTrue="1">
      <formula>AND(COUNTIF($A$21:$A$21,A21)&gt;1,NOT(ISBLANK(A21)))</formula>
    </cfRule>
  </conditionalFormatting>
  <conditionalFormatting sqref="A20">
    <cfRule type="duplicateValues" priority="40" dxfId="0" stopIfTrue="1">
      <formula>AND(COUNTIF($A$20:$A$20,A20)&gt;1,NOT(ISBLANK(A20)))</formula>
    </cfRule>
  </conditionalFormatting>
  <conditionalFormatting sqref="A241:A243">
    <cfRule type="duplicateValues" priority="39" dxfId="0" stopIfTrue="1">
      <formula>AND(COUNTIF($A$241:$A$243,A241)&gt;1,NOT(ISBLANK(A241)))</formula>
    </cfRule>
  </conditionalFormatting>
  <conditionalFormatting sqref="A240">
    <cfRule type="duplicateValues" priority="38" dxfId="0" stopIfTrue="1">
      <formula>AND(COUNTIF($A$240:$A$240,A240)&gt;1,NOT(ISBLANK(A240)))</formula>
    </cfRule>
  </conditionalFormatting>
  <conditionalFormatting sqref="A11">
    <cfRule type="duplicateValues" priority="37" dxfId="0" stopIfTrue="1">
      <formula>AND(COUNTIF($A$11:$A$11,A11)&gt;1,NOT(ISBLANK(A11)))</formula>
    </cfRule>
  </conditionalFormatting>
  <conditionalFormatting sqref="A235">
    <cfRule type="duplicateValues" priority="36" dxfId="0" stopIfTrue="1">
      <formula>AND(COUNTIF($A$235:$A$235,A235)&gt;1,NOT(ISBLANK(A235)))</formula>
    </cfRule>
  </conditionalFormatting>
  <conditionalFormatting sqref="A236">
    <cfRule type="duplicateValues" priority="35" dxfId="0" stopIfTrue="1">
      <formula>AND(COUNTIF($A$236:$A$236,A236)&gt;1,NOT(ISBLANK(A236)))</formula>
    </cfRule>
  </conditionalFormatting>
  <conditionalFormatting sqref="A185">
    <cfRule type="duplicateValues" priority="133" dxfId="0" stopIfTrue="1">
      <formula>AND(COUNTIF($A$185:$A$185,A185)&gt;1,NOT(ISBLANK(A185)))</formula>
    </cfRule>
  </conditionalFormatting>
  <conditionalFormatting sqref="A187">
    <cfRule type="duplicateValues" priority="34" dxfId="0" stopIfTrue="1">
      <formula>AND(COUNTIF($A$187:$A$187,A187)&gt;1,NOT(ISBLANK(A187)))</formula>
    </cfRule>
  </conditionalFormatting>
  <conditionalFormatting sqref="A105">
    <cfRule type="duplicateValues" priority="33" dxfId="0" stopIfTrue="1">
      <formula>AND(COUNTIF($A$105:$A$105,A105)&gt;1,NOT(ISBLANK(A105)))</formula>
    </cfRule>
  </conditionalFormatting>
  <conditionalFormatting sqref="A79">
    <cfRule type="duplicateValues" priority="32" dxfId="0" stopIfTrue="1">
      <formula>AND(COUNTIF($A$79:$A$79,A79)&gt;1,NOT(ISBLANK(A79)))</formula>
    </cfRule>
  </conditionalFormatting>
  <conditionalFormatting sqref="A78">
    <cfRule type="duplicateValues" priority="31" dxfId="0" stopIfTrue="1">
      <formula>AND(COUNTIF($A$78:$A$78,A78)&gt;1,NOT(ISBLANK(A78)))</formula>
    </cfRule>
  </conditionalFormatting>
  <conditionalFormatting sqref="A69">
    <cfRule type="duplicateValues" priority="30" dxfId="0" stopIfTrue="1">
      <formula>AND(COUNTIF($A$69:$A$69,A69)&gt;1,NOT(ISBLANK(A69)))</formula>
    </cfRule>
  </conditionalFormatting>
  <conditionalFormatting sqref="A70 A72">
    <cfRule type="expression" priority="148" dxfId="12" stopIfTrue="1">
      <formula>AND(COUNTIF($A$70:$A$70,A70)+COUNTIF($A$72:$A$72,A70)&gt;1,NOT(ISBLANK(A70)))</formula>
    </cfRule>
  </conditionalFormatting>
  <conditionalFormatting sqref="A71">
    <cfRule type="duplicateValues" priority="29" dxfId="0" stopIfTrue="1">
      <formula>AND(COUNTIF($A$71:$A$71,A71)&gt;1,NOT(ISBLANK(A71)))</formula>
    </cfRule>
  </conditionalFormatting>
  <conditionalFormatting sqref="A74:A75 A67:A68">
    <cfRule type="expression" priority="146" dxfId="12" stopIfTrue="1">
      <formula>AND(COUNTIF($A$74:$A$75,A67)+COUNTIF('PLANILHA ORÇAMENTÁRIA'!#REF!,A67)&gt;1,NOT(ISBLANK(A67)))</formula>
    </cfRule>
  </conditionalFormatting>
  <conditionalFormatting sqref="A76">
    <cfRule type="expression" priority="28" dxfId="12" stopIfTrue="1">
      <formula>AND(COUNTIF($A$59:$A$60,A76)+COUNTIF($A$61:$A$61,A76)&gt;1,NOT(ISBLANK(A76)))</formula>
    </cfRule>
  </conditionalFormatting>
  <conditionalFormatting sqref="A77">
    <cfRule type="duplicateValues" priority="27" dxfId="0" stopIfTrue="1">
      <formula>AND(COUNTIF($A$77:$A$77,A77)&gt;1,NOT(ISBLANK(A77)))</formula>
    </cfRule>
  </conditionalFormatting>
  <conditionalFormatting sqref="A135">
    <cfRule type="duplicateValues" priority="147" dxfId="0" stopIfTrue="1">
      <formula>AND(COUNTIF($A$135:$A$135,A135)&gt;1,NOT(ISBLANK(A135)))</formula>
    </cfRule>
  </conditionalFormatting>
  <conditionalFormatting sqref="A134">
    <cfRule type="duplicateValues" priority="19" dxfId="0" stopIfTrue="1">
      <formula>AND(COUNTIF($A$134:$A$134,A134)&gt;1,NOT(ISBLANK(A134)))</formula>
    </cfRule>
  </conditionalFormatting>
  <conditionalFormatting sqref="A56">
    <cfRule type="duplicateValues" priority="18" dxfId="0" stopIfTrue="1">
      <formula>AND(COUNTIF($A$56:$A$56,A56)&gt;1,NOT(ISBLANK(A56)))</formula>
    </cfRule>
  </conditionalFormatting>
  <conditionalFormatting sqref="A54">
    <cfRule type="duplicateValues" priority="16" dxfId="0" stopIfTrue="1">
      <formula>AND(COUNTIF($A$54:$A$54,A54)&gt;1,NOT(ISBLANK(A54)))</formula>
    </cfRule>
  </conditionalFormatting>
  <conditionalFormatting sqref="A55">
    <cfRule type="duplicateValues" priority="14" dxfId="0" stopIfTrue="1">
      <formula>AND(COUNTIF($A$55:$A$55,A55)&gt;1,NOT(ISBLANK(A55)))</formula>
    </cfRule>
  </conditionalFormatting>
  <conditionalFormatting sqref="A267">
    <cfRule type="duplicateValues" priority="6" dxfId="0" stopIfTrue="1">
      <formula>AND(COUNTIF($A$267:$A$267,A267)&gt;1,NOT(ISBLANK(A267)))</formula>
    </cfRule>
  </conditionalFormatting>
  <conditionalFormatting sqref="A267">
    <cfRule type="duplicateValues" priority="5" dxfId="0" stopIfTrue="1">
      <formula>AND(COUNTIF($A$267:$A$267,A267)&gt;1,NOT(ISBLANK(A267)))</formula>
    </cfRule>
  </conditionalFormatting>
  <conditionalFormatting sqref="A270">
    <cfRule type="duplicateValues" priority="4" dxfId="0" stopIfTrue="1">
      <formula>AND(COUNTIF($A$270:$A$270,A270)&gt;1,NOT(ISBLANK(A270)))</formula>
    </cfRule>
  </conditionalFormatting>
  <conditionalFormatting sqref="A270">
    <cfRule type="duplicateValues" priority="3" dxfId="0" stopIfTrue="1">
      <formula>AND(COUNTIF($A$270:$A$270,A270)&gt;1,NOT(ISBLANK(A270)))</formula>
    </cfRule>
  </conditionalFormatting>
  <conditionalFormatting sqref="A268">
    <cfRule type="duplicateValues" priority="2" dxfId="0" stopIfTrue="1">
      <formula>AND(COUNTIF($A$268:$A$268,A268)&gt;1,NOT(ISBLANK(A268)))</formula>
    </cfRule>
  </conditionalFormatting>
  <conditionalFormatting sqref="A268">
    <cfRule type="duplicateValues" priority="1" dxfId="0" stopIfTrue="1">
      <formula>AND(COUNTIF($A$268:$A$268,A268)&gt;1,NOT(ISBLANK(A268)))</formula>
    </cfRule>
  </conditionalFormatting>
  <printOptions horizontalCentered="1"/>
  <pageMargins left="0.5905511811023623" right="0.5905511811023623" top="1.2598425196850394" bottom="0.8267716535433072" header="0.5905511811023623" footer="0.3937007874015748"/>
  <pageSetup firstPageNumber="1" useFirstPageNumber="1" fitToHeight="0" fitToWidth="1" horizontalDpi="600" verticalDpi="600" orientation="portrait" paperSize="9" scale="46" r:id="rId1"/>
  <headerFooter alignWithMargins="0">
    <oddHeader>&amp;C&amp;12
CONSTRUÇÃO DO GALPÃO E DAS 
OFICINAS DO SESC SAMAMBAIA  
&amp;"Arial,Negrito"&amp;UPLANILHA ORÇAMENTÁRIA</oddHeader>
    <oddFooter>&amp;C&amp;"Times New Roman,Normal"&amp;12Página &amp;P de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804"/>
  <sheetViews>
    <sheetView showZeros="0" tabSelected="1" zoomScaleSheetLayoutView="115" zoomScalePageLayoutView="115" workbookViewId="0" topLeftCell="A1">
      <selection activeCell="C8" sqref="C8"/>
    </sheetView>
  </sheetViews>
  <sheetFormatPr defaultColWidth="9.140625" defaultRowHeight="12.75"/>
  <cols>
    <col min="1" max="1" width="16.8515625" style="8" customWidth="1"/>
    <col min="2" max="2" width="10.8515625" style="9" customWidth="1"/>
    <col min="3" max="3" width="63.421875" style="9" customWidth="1"/>
    <col min="4" max="4" width="7.57421875" style="9" customWidth="1"/>
    <col min="5" max="5" width="13.28125" style="10" bestFit="1" customWidth="1"/>
    <col min="6" max="6" width="14.28125" style="11" bestFit="1" customWidth="1"/>
    <col min="7" max="7" width="13.28125" style="11" bestFit="1" customWidth="1"/>
    <col min="8" max="8" width="13.7109375" style="7" bestFit="1" customWidth="1"/>
    <col min="9" max="16384" width="9.140625" style="7" customWidth="1"/>
  </cols>
  <sheetData>
    <row r="1" spans="1:7" ht="14.25">
      <c r="A1" s="47"/>
      <c r="B1" s="47"/>
      <c r="C1" s="47" t="s">
        <v>24</v>
      </c>
      <c r="D1" s="48" t="s">
        <v>25</v>
      </c>
      <c r="E1" s="51" t="s">
        <v>47</v>
      </c>
      <c r="F1" s="48"/>
      <c r="G1" s="48"/>
    </row>
    <row r="2" spans="1:7" ht="38.25">
      <c r="A2" s="47" t="s">
        <v>26</v>
      </c>
      <c r="B2" s="49" t="s">
        <v>50</v>
      </c>
      <c r="C2" s="49" t="s">
        <v>183</v>
      </c>
      <c r="D2" s="50" t="s">
        <v>16</v>
      </c>
      <c r="E2" s="53">
        <f>SUM(G4:G5)</f>
        <v>0</v>
      </c>
      <c r="F2" s="48"/>
      <c r="G2" s="48"/>
    </row>
    <row r="3" spans="1:7" ht="14.25">
      <c r="A3" s="47" t="s">
        <v>56</v>
      </c>
      <c r="B3" s="47" t="s">
        <v>2</v>
      </c>
      <c r="C3" s="47" t="s">
        <v>27</v>
      </c>
      <c r="D3" s="48" t="s">
        <v>25</v>
      </c>
      <c r="E3" s="51" t="s">
        <v>28</v>
      </c>
      <c r="F3" s="48" t="s">
        <v>29</v>
      </c>
      <c r="G3" s="48" t="s">
        <v>30</v>
      </c>
    </row>
    <row r="4" spans="1:7" ht="39.75" customHeight="1">
      <c r="A4" s="16" t="s">
        <v>32</v>
      </c>
      <c r="B4" s="52" t="str">
        <f>B8</f>
        <v>CP 001A</v>
      </c>
      <c r="C4" s="16" t="str">
        <f>C8</f>
        <v>JANELA DE AÇO TIPO BASCULANTE, COM BATENTE, FERRAGENS, PINTURA ANTICORROSIVA, VIDRO, ACABAMENTO, ALIZAR E CONTRAMARCO - 100x120 CM</v>
      </c>
      <c r="D4" s="31" t="str">
        <f>D8</f>
        <v>M²</v>
      </c>
      <c r="E4" s="54">
        <v>1</v>
      </c>
      <c r="F4" s="55"/>
      <c r="G4" s="55"/>
    </row>
    <row r="5" spans="1:7" ht="14.25">
      <c r="A5" s="16" t="s">
        <v>630</v>
      </c>
      <c r="B5" s="52">
        <v>88316</v>
      </c>
      <c r="C5" s="16" t="s">
        <v>67</v>
      </c>
      <c r="D5" s="31" t="s">
        <v>17</v>
      </c>
      <c r="E5" s="54">
        <v>0.8665</v>
      </c>
      <c r="F5" s="55"/>
      <c r="G5" s="55"/>
    </row>
    <row r="6" spans="1:7" ht="14.25">
      <c r="A6" s="17"/>
      <c r="B6" s="17"/>
      <c r="C6" s="17"/>
      <c r="D6" s="18"/>
      <c r="E6" s="19"/>
      <c r="F6" s="18"/>
      <c r="G6" s="18"/>
    </row>
    <row r="7" spans="1:7" ht="14.25">
      <c r="A7" s="17"/>
      <c r="B7" s="17"/>
      <c r="C7" s="17" t="s">
        <v>24</v>
      </c>
      <c r="D7" s="18" t="s">
        <v>25</v>
      </c>
      <c r="E7" s="19" t="s">
        <v>47</v>
      </c>
      <c r="F7" s="18"/>
      <c r="G7" s="18"/>
    </row>
    <row r="8" spans="1:7" ht="38.25">
      <c r="A8" s="17" t="s">
        <v>35</v>
      </c>
      <c r="B8" s="20" t="s">
        <v>91</v>
      </c>
      <c r="C8" s="49" t="s">
        <v>93</v>
      </c>
      <c r="D8" s="21" t="s">
        <v>16</v>
      </c>
      <c r="E8" s="53" t="e">
        <f>AVERAGE(G10:G12)</f>
        <v>#DIV/0!</v>
      </c>
      <c r="F8" s="24"/>
      <c r="G8" s="18"/>
    </row>
    <row r="9" spans="1:7" ht="27" customHeight="1">
      <c r="A9" s="17"/>
      <c r="B9" s="17" t="s">
        <v>2</v>
      </c>
      <c r="C9" s="16" t="s">
        <v>27</v>
      </c>
      <c r="D9" s="18" t="s">
        <v>25</v>
      </c>
      <c r="E9" s="19" t="s">
        <v>28</v>
      </c>
      <c r="F9" s="18" t="s">
        <v>29</v>
      </c>
      <c r="G9" s="18" t="s">
        <v>30</v>
      </c>
    </row>
    <row r="10" spans="1:7" ht="14.25">
      <c r="A10" s="17" t="s">
        <v>32</v>
      </c>
      <c r="B10" s="22" t="s">
        <v>39</v>
      </c>
      <c r="C10" s="16" t="s">
        <v>92</v>
      </c>
      <c r="D10" s="18" t="s">
        <v>16</v>
      </c>
      <c r="E10" s="23">
        <f>1/1.2</f>
        <v>0.8333333333333334</v>
      </c>
      <c r="F10" s="55"/>
      <c r="G10" s="55"/>
    </row>
    <row r="11" spans="1:7" ht="14.25">
      <c r="A11" s="17" t="s">
        <v>32</v>
      </c>
      <c r="B11" s="29" t="s">
        <v>40</v>
      </c>
      <c r="C11" s="16" t="s">
        <v>94</v>
      </c>
      <c r="D11" s="18" t="s">
        <v>16</v>
      </c>
      <c r="E11" s="23">
        <f>1/1.2</f>
        <v>0.8333333333333334</v>
      </c>
      <c r="F11" s="55"/>
      <c r="G11" s="55"/>
    </row>
    <row r="12" spans="1:7" ht="14.25">
      <c r="A12" s="17" t="s">
        <v>32</v>
      </c>
      <c r="B12" s="29" t="s">
        <v>43</v>
      </c>
      <c r="C12" s="16" t="s">
        <v>95</v>
      </c>
      <c r="D12" s="18" t="s">
        <v>16</v>
      </c>
      <c r="E12" s="23">
        <f>1/1.2</f>
        <v>0.8333333333333334</v>
      </c>
      <c r="F12" s="55"/>
      <c r="G12" s="55"/>
    </row>
    <row r="13" spans="1:7" ht="14.25">
      <c r="A13" s="47"/>
      <c r="B13" s="49"/>
      <c r="C13" s="49"/>
      <c r="D13" s="50"/>
      <c r="E13" s="53"/>
      <c r="F13" s="48"/>
      <c r="G13" s="48"/>
    </row>
    <row r="14" spans="1:7" ht="14.25">
      <c r="A14" s="66"/>
      <c r="B14" s="68"/>
      <c r="C14" s="68"/>
      <c r="D14" s="69"/>
      <c r="E14" s="72"/>
      <c r="F14" s="67"/>
      <c r="G14" s="67"/>
    </row>
    <row r="15" spans="1:7" ht="14.25">
      <c r="A15" s="17"/>
      <c r="B15" s="17"/>
      <c r="C15" s="17" t="s">
        <v>24</v>
      </c>
      <c r="D15" s="18" t="s">
        <v>25</v>
      </c>
      <c r="E15" s="19" t="s">
        <v>47</v>
      </c>
      <c r="F15" s="18"/>
      <c r="G15" s="18"/>
    </row>
    <row r="16" spans="1:7" ht="25.5">
      <c r="A16" s="17" t="s">
        <v>35</v>
      </c>
      <c r="B16" s="20" t="s">
        <v>613</v>
      </c>
      <c r="C16" s="68" t="s">
        <v>614</v>
      </c>
      <c r="D16" s="21" t="s">
        <v>16</v>
      </c>
      <c r="E16" s="72" t="e">
        <f>AVERAGE(G18:G20)</f>
        <v>#DIV/0!</v>
      </c>
      <c r="F16" s="24"/>
      <c r="G16" s="18"/>
    </row>
    <row r="17" spans="1:7" ht="14.25">
      <c r="A17" s="17"/>
      <c r="B17" s="17" t="s">
        <v>2</v>
      </c>
      <c r="C17" s="16" t="s">
        <v>27</v>
      </c>
      <c r="D17" s="18" t="s">
        <v>25</v>
      </c>
      <c r="E17" s="19" t="s">
        <v>28</v>
      </c>
      <c r="F17" s="18" t="s">
        <v>29</v>
      </c>
      <c r="G17" s="18" t="s">
        <v>30</v>
      </c>
    </row>
    <row r="18" spans="1:7" ht="14.25">
      <c r="A18" s="17" t="s">
        <v>32</v>
      </c>
      <c r="B18" s="22" t="s">
        <v>39</v>
      </c>
      <c r="C18" s="16" t="s">
        <v>95</v>
      </c>
      <c r="D18" s="18" t="s">
        <v>16</v>
      </c>
      <c r="E18" s="23">
        <f>1/(1.5*50)</f>
        <v>0.013333333333333334</v>
      </c>
      <c r="F18" s="74"/>
      <c r="G18" s="74"/>
    </row>
    <row r="19" spans="1:7" ht="14.25">
      <c r="A19" s="17" t="s">
        <v>32</v>
      </c>
      <c r="B19" s="29" t="s">
        <v>40</v>
      </c>
      <c r="C19" s="16" t="s">
        <v>92</v>
      </c>
      <c r="D19" s="18" t="s">
        <v>16</v>
      </c>
      <c r="E19" s="23">
        <f>1/(1.5*50)</f>
        <v>0.013333333333333334</v>
      </c>
      <c r="F19" s="74"/>
      <c r="G19" s="74"/>
    </row>
    <row r="20" spans="1:7" ht="14.25">
      <c r="A20" s="17" t="s">
        <v>32</v>
      </c>
      <c r="B20" s="29" t="s">
        <v>43</v>
      </c>
      <c r="C20" s="16" t="s">
        <v>615</v>
      </c>
      <c r="D20" s="18" t="s">
        <v>16</v>
      </c>
      <c r="E20" s="23">
        <f>1/(1.5*50)</f>
        <v>0.013333333333333334</v>
      </c>
      <c r="F20" s="74"/>
      <c r="G20" s="74"/>
    </row>
    <row r="21" spans="1:7" ht="14.25">
      <c r="A21" s="66"/>
      <c r="B21" s="68"/>
      <c r="C21" s="68"/>
      <c r="D21" s="69"/>
      <c r="E21" s="72"/>
      <c r="F21" s="67"/>
      <c r="G21" s="67"/>
    </row>
    <row r="22" spans="1:7" ht="14.25">
      <c r="A22" s="66"/>
      <c r="B22" s="68"/>
      <c r="C22" s="68"/>
      <c r="D22" s="69"/>
      <c r="E22" s="72"/>
      <c r="F22" s="67"/>
      <c r="G22" s="67"/>
    </row>
    <row r="23" spans="1:7" ht="14.25">
      <c r="A23" s="47"/>
      <c r="B23" s="47"/>
      <c r="C23" s="47" t="s">
        <v>24</v>
      </c>
      <c r="D23" s="48" t="s">
        <v>25</v>
      </c>
      <c r="E23" s="51" t="s">
        <v>47</v>
      </c>
      <c r="F23" s="48"/>
      <c r="G23" s="48"/>
    </row>
    <row r="24" spans="1:7" ht="25.5">
      <c r="A24" s="47" t="s">
        <v>26</v>
      </c>
      <c r="B24" s="49" t="s">
        <v>51</v>
      </c>
      <c r="C24" s="49" t="s">
        <v>220</v>
      </c>
      <c r="D24" s="50" t="s">
        <v>16</v>
      </c>
      <c r="E24" s="53">
        <f>SUM(G26:G30)</f>
        <v>0</v>
      </c>
      <c r="F24" s="48"/>
      <c r="G24" s="48"/>
    </row>
    <row r="25" spans="1:7" ht="14.25">
      <c r="A25" s="47" t="s">
        <v>56</v>
      </c>
      <c r="B25" s="47" t="s">
        <v>2</v>
      </c>
      <c r="C25" s="47" t="s">
        <v>27</v>
      </c>
      <c r="D25" s="48" t="s">
        <v>25</v>
      </c>
      <c r="E25" s="51" t="s">
        <v>28</v>
      </c>
      <c r="F25" s="48" t="s">
        <v>29</v>
      </c>
      <c r="G25" s="48" t="s">
        <v>30</v>
      </c>
    </row>
    <row r="26" spans="1:7" ht="14.25">
      <c r="A26" s="16" t="s">
        <v>630</v>
      </c>
      <c r="B26" s="52">
        <v>10583</v>
      </c>
      <c r="C26" s="16" t="s">
        <v>99</v>
      </c>
      <c r="D26" s="31" t="s">
        <v>25</v>
      </c>
      <c r="E26" s="54">
        <f>11</f>
        <v>11</v>
      </c>
      <c r="F26" s="55"/>
      <c r="G26" s="55"/>
    </row>
    <row r="27" spans="1:7" ht="14.25">
      <c r="A27" s="16" t="s">
        <v>32</v>
      </c>
      <c r="B27" s="52" t="str">
        <f>B16</f>
        <v>CP 002A</v>
      </c>
      <c r="C27" s="16" t="str">
        <f>C16</f>
        <v>TELA PLÁSTICA GALINHEIRO VIVEIRO PINTEIRO Nº 5 1,5M X 50M</v>
      </c>
      <c r="D27" s="31" t="s">
        <v>90</v>
      </c>
      <c r="E27" s="54">
        <v>1.05</v>
      </c>
      <c r="F27" s="55"/>
      <c r="G27" s="55"/>
    </row>
    <row r="28" spans="1:7" ht="14.25">
      <c r="A28" s="16" t="s">
        <v>630</v>
      </c>
      <c r="B28" s="52">
        <v>88316</v>
      </c>
      <c r="C28" s="16" t="s">
        <v>67</v>
      </c>
      <c r="D28" s="31" t="s">
        <v>17</v>
      </c>
      <c r="E28" s="54">
        <v>1.11</v>
      </c>
      <c r="F28" s="74"/>
      <c r="G28" s="55"/>
    </row>
    <row r="29" spans="1:7" ht="14.25">
      <c r="A29" s="16" t="s">
        <v>630</v>
      </c>
      <c r="B29" s="52">
        <v>88309</v>
      </c>
      <c r="C29" s="16" t="s">
        <v>100</v>
      </c>
      <c r="D29" s="31" t="s">
        <v>17</v>
      </c>
      <c r="E29" s="54">
        <v>1.11</v>
      </c>
      <c r="F29" s="55"/>
      <c r="G29" s="55"/>
    </row>
    <row r="30" spans="1:7" ht="25.5">
      <c r="A30" s="16" t="s">
        <v>630</v>
      </c>
      <c r="B30" s="22">
        <v>100489</v>
      </c>
      <c r="C30" s="17" t="s">
        <v>101</v>
      </c>
      <c r="D30" s="18" t="s">
        <v>102</v>
      </c>
      <c r="E30" s="23">
        <v>0.023</v>
      </c>
      <c r="F30" s="55"/>
      <c r="G30" s="74"/>
    </row>
    <row r="31" spans="1:7" ht="14.25">
      <c r="A31" s="16"/>
      <c r="B31" s="48"/>
      <c r="C31" s="47"/>
      <c r="D31" s="48"/>
      <c r="E31" s="54"/>
      <c r="F31" s="55"/>
      <c r="G31" s="55"/>
    </row>
    <row r="32" spans="1:7" ht="14.25">
      <c r="A32" s="66"/>
      <c r="B32" s="66"/>
      <c r="C32" s="66" t="s">
        <v>24</v>
      </c>
      <c r="D32" s="67" t="s">
        <v>25</v>
      </c>
      <c r="E32" s="70" t="s">
        <v>47</v>
      </c>
      <c r="F32" s="67"/>
      <c r="G32" s="67"/>
    </row>
    <row r="33" spans="1:7" ht="14.25">
      <c r="A33" s="66" t="s">
        <v>26</v>
      </c>
      <c r="B33" s="68" t="s">
        <v>52</v>
      </c>
      <c r="C33" s="68" t="s">
        <v>181</v>
      </c>
      <c r="D33" s="69" t="s">
        <v>18</v>
      </c>
      <c r="E33" s="72">
        <f>SUM(G35:G38)</f>
        <v>0</v>
      </c>
      <c r="F33" s="67"/>
      <c r="G33" s="67"/>
    </row>
    <row r="34" spans="1:7" ht="14.25">
      <c r="A34" s="66" t="s">
        <v>56</v>
      </c>
      <c r="B34" s="66" t="s">
        <v>2</v>
      </c>
      <c r="C34" s="66" t="s">
        <v>27</v>
      </c>
      <c r="D34" s="67" t="s">
        <v>25</v>
      </c>
      <c r="E34" s="70" t="s">
        <v>28</v>
      </c>
      <c r="F34" s="67" t="s">
        <v>29</v>
      </c>
      <c r="G34" s="67" t="s">
        <v>30</v>
      </c>
    </row>
    <row r="35" spans="1:7" ht="25.5">
      <c r="A35" s="16" t="s">
        <v>630</v>
      </c>
      <c r="B35" s="71">
        <v>96535</v>
      </c>
      <c r="C35" s="16" t="s">
        <v>352</v>
      </c>
      <c r="D35" s="31" t="s">
        <v>90</v>
      </c>
      <c r="E35" s="23">
        <f>0.65*2/4</f>
        <v>0.325</v>
      </c>
      <c r="F35" s="74"/>
      <c r="G35" s="74"/>
    </row>
    <row r="36" spans="1:7" ht="25.5">
      <c r="A36" s="16" t="s">
        <v>630</v>
      </c>
      <c r="B36" s="71">
        <v>96546</v>
      </c>
      <c r="C36" s="16" t="s">
        <v>106</v>
      </c>
      <c r="D36" s="31" t="s">
        <v>107</v>
      </c>
      <c r="E36" s="73">
        <f>80*0.24</f>
        <v>19.2</v>
      </c>
      <c r="F36" s="74"/>
      <c r="G36" s="74"/>
    </row>
    <row r="37" spans="1:7" ht="14.25">
      <c r="A37" s="16" t="s">
        <v>630</v>
      </c>
      <c r="B37" s="22">
        <v>96521</v>
      </c>
      <c r="C37" s="17" t="s">
        <v>187</v>
      </c>
      <c r="D37" s="18" t="s">
        <v>102</v>
      </c>
      <c r="E37" s="23">
        <f>(0.2+0.6)/2*0.6*1</f>
        <v>0.24</v>
      </c>
      <c r="F37" s="74"/>
      <c r="G37" s="74"/>
    </row>
    <row r="38" spans="1:7" ht="25.5">
      <c r="A38" s="16" t="s">
        <v>630</v>
      </c>
      <c r="B38" s="22">
        <v>96558</v>
      </c>
      <c r="C38" s="17" t="s">
        <v>188</v>
      </c>
      <c r="D38" s="18" t="s">
        <v>102</v>
      </c>
      <c r="E38" s="23">
        <f>(0.2+0.6)/2*0.6*1</f>
        <v>0.24</v>
      </c>
      <c r="F38" s="74"/>
      <c r="G38" s="74"/>
    </row>
    <row r="39" spans="1:7" ht="14.25">
      <c r="A39" s="16"/>
      <c r="B39" s="67"/>
      <c r="C39" s="66"/>
      <c r="D39" s="67"/>
      <c r="E39" s="73"/>
      <c r="F39" s="74"/>
      <c r="G39" s="74"/>
    </row>
    <row r="40" spans="1:7" ht="14.25">
      <c r="A40" s="47"/>
      <c r="B40" s="47"/>
      <c r="C40" s="47" t="s">
        <v>24</v>
      </c>
      <c r="D40" s="48" t="s">
        <v>25</v>
      </c>
      <c r="E40" s="51" t="s">
        <v>47</v>
      </c>
      <c r="F40" s="48"/>
      <c r="G40" s="48"/>
    </row>
    <row r="41" spans="1:7" ht="14.25">
      <c r="A41" s="47" t="s">
        <v>26</v>
      </c>
      <c r="B41" s="49" t="s">
        <v>33</v>
      </c>
      <c r="C41" s="49" t="s">
        <v>111</v>
      </c>
      <c r="D41" s="50" t="s">
        <v>16</v>
      </c>
      <c r="E41" s="53">
        <f>SUM(G43:G46)</f>
        <v>0</v>
      </c>
      <c r="F41" s="48"/>
      <c r="G41" s="48"/>
    </row>
    <row r="42" spans="1:7" ht="14.25">
      <c r="A42" s="47" t="s">
        <v>56</v>
      </c>
      <c r="B42" s="47" t="s">
        <v>2</v>
      </c>
      <c r="C42" s="47" t="s">
        <v>27</v>
      </c>
      <c r="D42" s="48" t="s">
        <v>25</v>
      </c>
      <c r="E42" s="51" t="s">
        <v>28</v>
      </c>
      <c r="F42" s="48" t="s">
        <v>29</v>
      </c>
      <c r="G42" s="48" t="s">
        <v>30</v>
      </c>
    </row>
    <row r="43" spans="1:7" ht="14.25">
      <c r="A43" s="16" t="s">
        <v>630</v>
      </c>
      <c r="B43" s="52">
        <v>88316</v>
      </c>
      <c r="C43" s="16" t="s">
        <v>67</v>
      </c>
      <c r="D43" s="31" t="s">
        <v>17</v>
      </c>
      <c r="E43" s="54">
        <v>0.5</v>
      </c>
      <c r="F43" s="74"/>
      <c r="G43" s="55"/>
    </row>
    <row r="44" spans="1:7" ht="14.25">
      <c r="A44" s="16" t="s">
        <v>630</v>
      </c>
      <c r="B44" s="52">
        <v>88309</v>
      </c>
      <c r="C44" s="16" t="s">
        <v>100</v>
      </c>
      <c r="D44" s="31" t="s">
        <v>17</v>
      </c>
      <c r="E44" s="54">
        <v>0.55</v>
      </c>
      <c r="F44" s="74"/>
      <c r="G44" s="55"/>
    </row>
    <row r="45" spans="1:7" ht="25.5">
      <c r="A45" s="16" t="s">
        <v>630</v>
      </c>
      <c r="B45" s="52">
        <v>92716</v>
      </c>
      <c r="C45" s="16" t="s">
        <v>109</v>
      </c>
      <c r="D45" s="31" t="s">
        <v>54</v>
      </c>
      <c r="E45" s="54">
        <v>0.6581</v>
      </c>
      <c r="F45" s="55"/>
      <c r="G45" s="55"/>
    </row>
    <row r="46" spans="1:7" ht="25.5">
      <c r="A46" s="16" t="s">
        <v>630</v>
      </c>
      <c r="B46" s="52">
        <v>92717</v>
      </c>
      <c r="C46" s="16" t="s">
        <v>110</v>
      </c>
      <c r="D46" s="31" t="s">
        <v>55</v>
      </c>
      <c r="E46" s="54">
        <v>1.6062</v>
      </c>
      <c r="F46" s="55"/>
      <c r="G46" s="55"/>
    </row>
    <row r="47" spans="1:7" ht="14.25">
      <c r="A47" s="47"/>
      <c r="B47" s="52"/>
      <c r="C47" s="47"/>
      <c r="D47" s="48"/>
      <c r="E47" s="54"/>
      <c r="F47" s="55"/>
      <c r="G47" s="55"/>
    </row>
    <row r="48" spans="1:7" ht="14.25">
      <c r="A48" s="57"/>
      <c r="B48" s="57"/>
      <c r="C48" s="57" t="s">
        <v>24</v>
      </c>
      <c r="D48" s="58" t="s">
        <v>25</v>
      </c>
      <c r="E48" s="61" t="s">
        <v>47</v>
      </c>
      <c r="F48" s="58"/>
      <c r="G48" s="58"/>
    </row>
    <row r="49" spans="1:7" ht="25.5">
      <c r="A49" s="57" t="s">
        <v>26</v>
      </c>
      <c r="B49" s="59" t="s">
        <v>69</v>
      </c>
      <c r="C49" s="59" t="s">
        <v>117</v>
      </c>
      <c r="D49" s="60" t="s">
        <v>12</v>
      </c>
      <c r="E49" s="63">
        <f>SUM(G51:G61)</f>
        <v>0</v>
      </c>
      <c r="F49" s="58"/>
      <c r="G49" s="58"/>
    </row>
    <row r="50" spans="1:7" ht="14.25">
      <c r="A50" s="57" t="s">
        <v>119</v>
      </c>
      <c r="B50" s="62" t="s">
        <v>2</v>
      </c>
      <c r="C50" s="57" t="s">
        <v>27</v>
      </c>
      <c r="D50" s="58" t="s">
        <v>25</v>
      </c>
      <c r="E50" s="64" t="s">
        <v>28</v>
      </c>
      <c r="F50" s="65" t="s">
        <v>29</v>
      </c>
      <c r="G50" s="65" t="s">
        <v>30</v>
      </c>
    </row>
    <row r="51" spans="1:7" ht="14.25">
      <c r="A51" s="16" t="s">
        <v>635</v>
      </c>
      <c r="B51" s="62">
        <v>34449</v>
      </c>
      <c r="C51" s="57" t="s">
        <v>636</v>
      </c>
      <c r="D51" s="58" t="s">
        <v>31</v>
      </c>
      <c r="E51" s="64">
        <v>3.78</v>
      </c>
      <c r="F51" s="65"/>
      <c r="G51" s="56"/>
    </row>
    <row r="52" spans="1:7" ht="25.5">
      <c r="A52" s="16" t="s">
        <v>635</v>
      </c>
      <c r="B52" s="62">
        <v>43132</v>
      </c>
      <c r="C52" s="57" t="s">
        <v>120</v>
      </c>
      <c r="D52" s="58" t="s">
        <v>31</v>
      </c>
      <c r="E52" s="64">
        <v>0.011</v>
      </c>
      <c r="F52" s="65"/>
      <c r="G52" s="56"/>
    </row>
    <row r="53" spans="1:7" ht="38.25">
      <c r="A53" s="16" t="s">
        <v>635</v>
      </c>
      <c r="B53" s="62">
        <v>103323</v>
      </c>
      <c r="C53" s="57" t="s">
        <v>548</v>
      </c>
      <c r="D53" s="58" t="s">
        <v>90</v>
      </c>
      <c r="E53" s="64">
        <f>0.6*0.6*2+0.6*0.4*2</f>
        <v>1.2</v>
      </c>
      <c r="F53" s="65"/>
      <c r="G53" s="56"/>
    </row>
    <row r="54" spans="1:7" ht="63.75">
      <c r="A54" s="16" t="s">
        <v>635</v>
      </c>
      <c r="B54" s="62">
        <v>87545</v>
      </c>
      <c r="C54" s="57" t="s">
        <v>122</v>
      </c>
      <c r="D54" s="58" t="s">
        <v>90</v>
      </c>
      <c r="E54" s="64">
        <v>0.95</v>
      </c>
      <c r="F54" s="65"/>
      <c r="G54" s="56"/>
    </row>
    <row r="55" spans="1:7" ht="38.25">
      <c r="A55" s="16" t="s">
        <v>635</v>
      </c>
      <c r="B55" s="62">
        <v>87879</v>
      </c>
      <c r="C55" s="57" t="s">
        <v>123</v>
      </c>
      <c r="D55" s="58" t="s">
        <v>90</v>
      </c>
      <c r="E55" s="64">
        <v>0.95</v>
      </c>
      <c r="F55" s="65"/>
      <c r="G55" s="56"/>
    </row>
    <row r="56" spans="1:7" ht="14.25">
      <c r="A56" s="16" t="s">
        <v>635</v>
      </c>
      <c r="B56" s="62">
        <v>88245</v>
      </c>
      <c r="C56" s="57" t="s">
        <v>105</v>
      </c>
      <c r="D56" s="58" t="s">
        <v>17</v>
      </c>
      <c r="E56" s="64">
        <v>1</v>
      </c>
      <c r="F56" s="65"/>
      <c r="G56" s="56"/>
    </row>
    <row r="57" spans="1:7" ht="14.25">
      <c r="A57" s="16" t="s">
        <v>635</v>
      </c>
      <c r="B57" s="62" t="s">
        <v>124</v>
      </c>
      <c r="C57" s="57" t="s">
        <v>100</v>
      </c>
      <c r="D57" s="58" t="s">
        <v>17</v>
      </c>
      <c r="E57" s="64">
        <v>8</v>
      </c>
      <c r="F57" s="65"/>
      <c r="G57" s="56"/>
    </row>
    <row r="58" spans="1:7" ht="14.25">
      <c r="A58" s="16" t="s">
        <v>630</v>
      </c>
      <c r="B58" s="62" t="s">
        <v>125</v>
      </c>
      <c r="C58" s="57" t="s">
        <v>67</v>
      </c>
      <c r="D58" s="58" t="s">
        <v>17</v>
      </c>
      <c r="E58" s="64">
        <v>8</v>
      </c>
      <c r="F58" s="65"/>
      <c r="G58" s="56"/>
    </row>
    <row r="59" spans="1:7" ht="51">
      <c r="A59" s="16" t="s">
        <v>635</v>
      </c>
      <c r="B59" s="62">
        <v>92411</v>
      </c>
      <c r="C59" s="57" t="s">
        <v>126</v>
      </c>
      <c r="D59" s="58" t="s">
        <v>90</v>
      </c>
      <c r="E59" s="64">
        <v>0.14</v>
      </c>
      <c r="F59" s="65"/>
      <c r="G59" s="56"/>
    </row>
    <row r="60" spans="1:7" ht="25.5">
      <c r="A60" s="16" t="s">
        <v>635</v>
      </c>
      <c r="B60" s="62">
        <v>96624</v>
      </c>
      <c r="C60" s="57" t="s">
        <v>127</v>
      </c>
      <c r="D60" s="58" t="s">
        <v>102</v>
      </c>
      <c r="E60" s="64">
        <v>0.081</v>
      </c>
      <c r="F60" s="65"/>
      <c r="G60" s="56"/>
    </row>
    <row r="61" spans="1:7" ht="38.25">
      <c r="A61" s="16" t="s">
        <v>635</v>
      </c>
      <c r="B61" s="62">
        <v>94970</v>
      </c>
      <c r="C61" s="57" t="s">
        <v>129</v>
      </c>
      <c r="D61" s="58" t="s">
        <v>102</v>
      </c>
      <c r="E61" s="64">
        <v>0.046</v>
      </c>
      <c r="F61" s="65"/>
      <c r="G61" s="56"/>
    </row>
    <row r="62" spans="1:7" ht="14.25">
      <c r="A62" s="16"/>
      <c r="B62" s="22"/>
      <c r="C62" s="17"/>
      <c r="D62" s="18"/>
      <c r="E62" s="23"/>
      <c r="F62" s="55"/>
      <c r="G62" s="55"/>
    </row>
    <row r="63" spans="1:7" ht="14.25">
      <c r="A63" s="57"/>
      <c r="B63" s="57"/>
      <c r="C63" s="57" t="s">
        <v>24</v>
      </c>
      <c r="D63" s="58" t="s">
        <v>25</v>
      </c>
      <c r="E63" s="61" t="s">
        <v>47</v>
      </c>
      <c r="F63" s="58"/>
      <c r="G63" s="58"/>
    </row>
    <row r="64" spans="1:7" ht="25.5">
      <c r="A64" s="57" t="s">
        <v>35</v>
      </c>
      <c r="B64" s="59" t="s">
        <v>81</v>
      </c>
      <c r="C64" s="59" t="s">
        <v>130</v>
      </c>
      <c r="D64" s="60" t="s">
        <v>12</v>
      </c>
      <c r="E64" s="63" t="e">
        <f>AVERAGE(G66:G67)</f>
        <v>#DIV/0!</v>
      </c>
      <c r="F64" s="58"/>
      <c r="G64" s="58"/>
    </row>
    <row r="65" spans="1:7" ht="14.25">
      <c r="A65" s="57"/>
      <c r="B65" s="57" t="s">
        <v>2</v>
      </c>
      <c r="C65" s="57" t="s">
        <v>27</v>
      </c>
      <c r="D65" s="58" t="s">
        <v>25</v>
      </c>
      <c r="E65" s="61" t="s">
        <v>28</v>
      </c>
      <c r="F65" s="58" t="s">
        <v>29</v>
      </c>
      <c r="G65" s="58" t="s">
        <v>30</v>
      </c>
    </row>
    <row r="66" spans="1:7" ht="14.25">
      <c r="A66" s="57" t="s">
        <v>32</v>
      </c>
      <c r="B66" s="62" t="s">
        <v>39</v>
      </c>
      <c r="C66" s="57" t="s">
        <v>131</v>
      </c>
      <c r="D66" s="58" t="s">
        <v>12</v>
      </c>
      <c r="E66" s="64">
        <v>1</v>
      </c>
      <c r="F66" s="65"/>
      <c r="G66" s="65"/>
    </row>
    <row r="67" spans="1:7" ht="14.25">
      <c r="A67" s="57" t="s">
        <v>32</v>
      </c>
      <c r="B67" s="62" t="s">
        <v>40</v>
      </c>
      <c r="C67" s="57" t="s">
        <v>132</v>
      </c>
      <c r="D67" s="58" t="s">
        <v>12</v>
      </c>
      <c r="E67" s="64">
        <v>1</v>
      </c>
      <c r="F67" s="65"/>
      <c r="G67" s="65"/>
    </row>
    <row r="68" spans="1:7" ht="14.25">
      <c r="A68" s="12"/>
      <c r="B68" s="12"/>
      <c r="C68" s="12"/>
      <c r="D68" s="13"/>
      <c r="E68" s="14"/>
      <c r="F68" s="13"/>
      <c r="G68" s="13"/>
    </row>
    <row r="69" spans="1:7" ht="14.25">
      <c r="A69" s="57"/>
      <c r="B69" s="57"/>
      <c r="C69" s="57" t="s">
        <v>24</v>
      </c>
      <c r="D69" s="58" t="s">
        <v>25</v>
      </c>
      <c r="E69" s="61" t="s">
        <v>47</v>
      </c>
      <c r="F69" s="58"/>
      <c r="G69" s="58"/>
    </row>
    <row r="70" spans="1:7" ht="25.5">
      <c r="A70" s="57" t="s">
        <v>26</v>
      </c>
      <c r="B70" s="59" t="s">
        <v>70</v>
      </c>
      <c r="C70" s="59" t="s">
        <v>118</v>
      </c>
      <c r="D70" s="60" t="s">
        <v>12</v>
      </c>
      <c r="E70" s="63">
        <f>SUM(G72:G75)</f>
        <v>0</v>
      </c>
      <c r="F70" s="58"/>
      <c r="G70" s="58"/>
    </row>
    <row r="71" spans="1:7" ht="14.25">
      <c r="A71" s="57" t="s">
        <v>133</v>
      </c>
      <c r="B71" s="62" t="s">
        <v>2</v>
      </c>
      <c r="C71" s="57" t="s">
        <v>27</v>
      </c>
      <c r="D71" s="58" t="s">
        <v>25</v>
      </c>
      <c r="E71" s="64" t="s">
        <v>28</v>
      </c>
      <c r="F71" s="65" t="s">
        <v>29</v>
      </c>
      <c r="G71" s="65" t="s">
        <v>30</v>
      </c>
    </row>
    <row r="72" spans="1:7" ht="14.25">
      <c r="A72" s="57" t="s">
        <v>32</v>
      </c>
      <c r="B72" s="62" t="str">
        <f>B64</f>
        <v>CP 006A</v>
      </c>
      <c r="C72" s="57" t="s">
        <v>130</v>
      </c>
      <c r="D72" s="58" t="s">
        <v>12</v>
      </c>
      <c r="E72" s="64">
        <v>1</v>
      </c>
      <c r="F72" s="65"/>
      <c r="G72" s="65"/>
    </row>
    <row r="73" spans="1:7" ht="14.25">
      <c r="A73" s="16" t="s">
        <v>630</v>
      </c>
      <c r="B73" s="62">
        <v>3148</v>
      </c>
      <c r="C73" s="57" t="s">
        <v>134</v>
      </c>
      <c r="D73" s="58" t="s">
        <v>12</v>
      </c>
      <c r="E73" s="64">
        <v>0.028</v>
      </c>
      <c r="F73" s="65"/>
      <c r="G73" s="65"/>
    </row>
    <row r="74" spans="1:7" ht="14.25">
      <c r="A74" s="16" t="s">
        <v>630</v>
      </c>
      <c r="B74" s="62" t="s">
        <v>124</v>
      </c>
      <c r="C74" s="57" t="s">
        <v>100</v>
      </c>
      <c r="D74" s="58" t="s">
        <v>17</v>
      </c>
      <c r="E74" s="64">
        <v>2</v>
      </c>
      <c r="F74" s="74"/>
      <c r="G74" s="65"/>
    </row>
    <row r="75" spans="1:7" ht="14.25">
      <c r="A75" s="16" t="s">
        <v>630</v>
      </c>
      <c r="B75" s="62" t="s">
        <v>125</v>
      </c>
      <c r="C75" s="57" t="s">
        <v>67</v>
      </c>
      <c r="D75" s="58" t="s">
        <v>17</v>
      </c>
      <c r="E75" s="64">
        <v>2</v>
      </c>
      <c r="F75" s="74"/>
      <c r="G75" s="65"/>
    </row>
    <row r="76" spans="1:7" ht="14.25">
      <c r="A76" s="16"/>
      <c r="B76" s="22"/>
      <c r="C76" s="17"/>
      <c r="D76" s="18"/>
      <c r="E76" s="23"/>
      <c r="F76" s="55"/>
      <c r="G76" s="55"/>
    </row>
    <row r="78" spans="1:7" ht="14.25">
      <c r="A78" s="66"/>
      <c r="B78" s="66"/>
      <c r="C78" s="66" t="s">
        <v>24</v>
      </c>
      <c r="D78" s="67" t="s">
        <v>25</v>
      </c>
      <c r="E78" s="70" t="s">
        <v>47</v>
      </c>
      <c r="F78" s="67"/>
      <c r="G78" s="67"/>
    </row>
    <row r="79" spans="1:7" ht="25.5">
      <c r="A79" s="66" t="s">
        <v>35</v>
      </c>
      <c r="B79" s="68" t="s">
        <v>113</v>
      </c>
      <c r="C79" s="68" t="s">
        <v>155</v>
      </c>
      <c r="D79" s="69" t="s">
        <v>12</v>
      </c>
      <c r="E79" s="72" t="e">
        <f>AVERAGE(G81:G82)</f>
        <v>#DIV/0!</v>
      </c>
      <c r="F79" s="67"/>
      <c r="G79" s="67"/>
    </row>
    <row r="80" spans="1:7" ht="14.25">
      <c r="A80" s="66"/>
      <c r="B80" s="66" t="s">
        <v>2</v>
      </c>
      <c r="C80" s="66" t="s">
        <v>27</v>
      </c>
      <c r="D80" s="67" t="s">
        <v>25</v>
      </c>
      <c r="E80" s="70" t="s">
        <v>28</v>
      </c>
      <c r="F80" s="67" t="s">
        <v>29</v>
      </c>
      <c r="G80" s="67" t="s">
        <v>30</v>
      </c>
    </row>
    <row r="81" spans="1:7" ht="14.25">
      <c r="A81" s="66" t="s">
        <v>32</v>
      </c>
      <c r="B81" s="71" t="s">
        <v>39</v>
      </c>
      <c r="C81" s="66" t="s">
        <v>137</v>
      </c>
      <c r="D81" s="67" t="s">
        <v>12</v>
      </c>
      <c r="E81" s="73">
        <v>1</v>
      </c>
      <c r="F81" s="74"/>
      <c r="G81" s="74"/>
    </row>
    <row r="82" spans="1:7" ht="14.25">
      <c r="A82" s="66" t="s">
        <v>32</v>
      </c>
      <c r="B82" s="71" t="s">
        <v>40</v>
      </c>
      <c r="C82" s="66" t="s">
        <v>156</v>
      </c>
      <c r="D82" s="67" t="s">
        <v>12</v>
      </c>
      <c r="E82" s="73">
        <v>1</v>
      </c>
      <c r="F82" s="74"/>
      <c r="G82" s="74"/>
    </row>
    <row r="83" spans="1:7" ht="14.25">
      <c r="A83" s="12"/>
      <c r="B83" s="12"/>
      <c r="C83" s="12"/>
      <c r="D83" s="13"/>
      <c r="E83" s="14"/>
      <c r="F83" s="13"/>
      <c r="G83" s="13"/>
    </row>
    <row r="84" spans="1:7" ht="14.25">
      <c r="A84" s="66"/>
      <c r="B84" s="66"/>
      <c r="C84" s="66" t="s">
        <v>24</v>
      </c>
      <c r="D84" s="67" t="s">
        <v>25</v>
      </c>
      <c r="E84" s="70" t="s">
        <v>47</v>
      </c>
      <c r="F84" s="67"/>
      <c r="G84" s="67"/>
    </row>
    <row r="85" spans="1:7" ht="25.5">
      <c r="A85" s="66" t="s">
        <v>26</v>
      </c>
      <c r="B85" s="68" t="s">
        <v>71</v>
      </c>
      <c r="C85" s="68" t="s">
        <v>149</v>
      </c>
      <c r="D85" s="69" t="s">
        <v>12</v>
      </c>
      <c r="E85" s="72">
        <f>SUM(G87:G89)</f>
        <v>0</v>
      </c>
      <c r="F85" s="67"/>
      <c r="G85" s="67"/>
    </row>
    <row r="86" spans="1:7" ht="14.25">
      <c r="A86" s="66" t="s">
        <v>157</v>
      </c>
      <c r="B86" s="71" t="s">
        <v>2</v>
      </c>
      <c r="C86" s="66" t="s">
        <v>27</v>
      </c>
      <c r="D86" s="67" t="s">
        <v>25</v>
      </c>
      <c r="E86" s="73" t="s">
        <v>28</v>
      </c>
      <c r="F86" s="74" t="s">
        <v>29</v>
      </c>
      <c r="G86" s="74" t="s">
        <v>30</v>
      </c>
    </row>
    <row r="87" spans="1:7" ht="25.5">
      <c r="A87" s="66" t="s">
        <v>32</v>
      </c>
      <c r="B87" s="71" t="str">
        <f>B79</f>
        <v>CP 007A</v>
      </c>
      <c r="C87" s="66" t="s">
        <v>155</v>
      </c>
      <c r="D87" s="67" t="s">
        <v>12</v>
      </c>
      <c r="E87" s="73">
        <v>1</v>
      </c>
      <c r="F87" s="74"/>
      <c r="G87" s="74"/>
    </row>
    <row r="88" spans="1:7" ht="14.25">
      <c r="A88" s="16" t="s">
        <v>630</v>
      </c>
      <c r="B88" s="71">
        <v>88247</v>
      </c>
      <c r="C88" s="66" t="s">
        <v>151</v>
      </c>
      <c r="D88" s="67" t="s">
        <v>17</v>
      </c>
      <c r="E88" s="73">
        <v>0.22440000000000002</v>
      </c>
      <c r="F88" s="74"/>
      <c r="G88" s="74"/>
    </row>
    <row r="89" spans="1:7" ht="14.25">
      <c r="A89" s="16" t="s">
        <v>630</v>
      </c>
      <c r="B89" s="71" t="s">
        <v>152</v>
      </c>
      <c r="C89" s="66" t="s">
        <v>153</v>
      </c>
      <c r="D89" s="67" t="s">
        <v>17</v>
      </c>
      <c r="E89" s="73">
        <v>0.5385</v>
      </c>
      <c r="F89" s="74"/>
      <c r="G89" s="74"/>
    </row>
    <row r="90" spans="1:7" ht="14.25">
      <c r="A90" s="12"/>
      <c r="B90" s="12"/>
      <c r="C90" s="12"/>
      <c r="D90" s="13"/>
      <c r="E90" s="14"/>
      <c r="F90" s="13"/>
      <c r="G90" s="13"/>
    </row>
    <row r="91" spans="1:7" ht="14.25">
      <c r="A91" s="12"/>
      <c r="B91" s="12"/>
      <c r="C91" s="12"/>
      <c r="D91" s="13"/>
      <c r="E91" s="14"/>
      <c r="F91" s="13"/>
      <c r="G91" s="13"/>
    </row>
    <row r="92" spans="1:7" ht="14.25">
      <c r="A92" s="66"/>
      <c r="B92" s="66"/>
      <c r="C92" s="66" t="s">
        <v>24</v>
      </c>
      <c r="D92" s="67" t="s">
        <v>25</v>
      </c>
      <c r="E92" s="70" t="s">
        <v>47</v>
      </c>
      <c r="F92" s="67"/>
      <c r="G92" s="67"/>
    </row>
    <row r="93" spans="1:7" ht="25.5">
      <c r="A93" s="66" t="s">
        <v>26</v>
      </c>
      <c r="B93" s="68" t="s">
        <v>72</v>
      </c>
      <c r="C93" s="68" t="s">
        <v>169</v>
      </c>
      <c r="D93" s="69" t="s">
        <v>12</v>
      </c>
      <c r="E93" s="72">
        <f>SUM(G95:G98)</f>
        <v>0</v>
      </c>
      <c r="F93" s="67"/>
      <c r="G93" s="67"/>
    </row>
    <row r="94" spans="1:7" ht="14.25">
      <c r="A94" s="66" t="s">
        <v>170</v>
      </c>
      <c r="B94" s="71" t="s">
        <v>2</v>
      </c>
      <c r="C94" s="66" t="s">
        <v>27</v>
      </c>
      <c r="D94" s="67" t="s">
        <v>25</v>
      </c>
      <c r="E94" s="73" t="s">
        <v>28</v>
      </c>
      <c r="F94" s="74" t="s">
        <v>29</v>
      </c>
      <c r="G94" s="74" t="s">
        <v>30</v>
      </c>
    </row>
    <row r="95" spans="1:7" ht="14.25">
      <c r="A95" s="16" t="s">
        <v>630</v>
      </c>
      <c r="B95" s="71">
        <v>7348</v>
      </c>
      <c r="C95" s="66" t="s">
        <v>171</v>
      </c>
      <c r="D95" s="67" t="s">
        <v>172</v>
      </c>
      <c r="E95" s="73">
        <v>0.39599999999999996</v>
      </c>
      <c r="F95" s="74"/>
      <c r="G95" s="74"/>
    </row>
    <row r="96" spans="1:7" ht="14.25">
      <c r="A96" s="16" t="s">
        <v>630</v>
      </c>
      <c r="B96" s="71">
        <v>12815</v>
      </c>
      <c r="C96" s="66" t="s">
        <v>173</v>
      </c>
      <c r="D96" s="67" t="s">
        <v>12</v>
      </c>
      <c r="E96" s="73">
        <v>0.19200000000000003</v>
      </c>
      <c r="F96" s="74"/>
      <c r="G96" s="74"/>
    </row>
    <row r="97" spans="1:7" ht="14.25">
      <c r="A97" s="16" t="s">
        <v>630</v>
      </c>
      <c r="B97" s="71">
        <v>88310</v>
      </c>
      <c r="C97" s="66" t="s">
        <v>174</v>
      </c>
      <c r="D97" s="67" t="s">
        <v>17</v>
      </c>
      <c r="E97" s="73">
        <v>2</v>
      </c>
      <c r="F97" s="74"/>
      <c r="G97" s="74"/>
    </row>
    <row r="98" spans="1:7" ht="14.25">
      <c r="A98" s="16" t="s">
        <v>630</v>
      </c>
      <c r="B98" s="71" t="s">
        <v>125</v>
      </c>
      <c r="C98" s="66" t="s">
        <v>67</v>
      </c>
      <c r="D98" s="67" t="s">
        <v>17</v>
      </c>
      <c r="E98" s="73">
        <v>3</v>
      </c>
      <c r="F98" s="74"/>
      <c r="G98" s="74"/>
    </row>
    <row r="100" spans="1:7" ht="14.25">
      <c r="A100" s="66"/>
      <c r="B100" s="66"/>
      <c r="C100" s="66" t="s">
        <v>24</v>
      </c>
      <c r="D100" s="67" t="s">
        <v>25</v>
      </c>
      <c r="E100" s="70" t="s">
        <v>47</v>
      </c>
      <c r="F100" s="67"/>
      <c r="G100" s="67"/>
    </row>
    <row r="101" spans="1:7" ht="25.5">
      <c r="A101" s="66" t="s">
        <v>35</v>
      </c>
      <c r="B101" s="68" t="s">
        <v>73</v>
      </c>
      <c r="C101" s="68" t="s">
        <v>34</v>
      </c>
      <c r="D101" s="69" t="s">
        <v>12</v>
      </c>
      <c r="E101" s="72" t="e">
        <f>AVERAGE(G103:G106)</f>
        <v>#DIV/0!</v>
      </c>
      <c r="F101" s="67"/>
      <c r="G101" s="67"/>
    </row>
    <row r="102" spans="1:7" ht="14.25">
      <c r="A102" s="66"/>
      <c r="B102" s="66" t="s">
        <v>2</v>
      </c>
      <c r="C102" s="66" t="s">
        <v>27</v>
      </c>
      <c r="D102" s="67" t="s">
        <v>25</v>
      </c>
      <c r="E102" s="70" t="s">
        <v>28</v>
      </c>
      <c r="F102" s="67" t="s">
        <v>29</v>
      </c>
      <c r="G102" s="67" t="s">
        <v>30</v>
      </c>
    </row>
    <row r="103" spans="1:7" ht="14.25">
      <c r="A103" s="66" t="s">
        <v>32</v>
      </c>
      <c r="B103" s="71" t="s">
        <v>39</v>
      </c>
      <c r="C103" s="66" t="s">
        <v>37</v>
      </c>
      <c r="D103" s="67" t="s">
        <v>12</v>
      </c>
      <c r="E103" s="73">
        <v>1</v>
      </c>
      <c r="F103" s="74"/>
      <c r="G103" s="74"/>
    </row>
    <row r="104" spans="1:7" ht="14.25">
      <c r="A104" s="66" t="s">
        <v>32</v>
      </c>
      <c r="B104" s="71" t="s">
        <v>40</v>
      </c>
      <c r="C104" s="66" t="s">
        <v>38</v>
      </c>
      <c r="D104" s="67" t="s">
        <v>12</v>
      </c>
      <c r="E104" s="73">
        <v>1</v>
      </c>
      <c r="F104" s="74"/>
      <c r="G104" s="74"/>
    </row>
    <row r="105" spans="1:7" ht="14.25">
      <c r="A105" s="66" t="s">
        <v>32</v>
      </c>
      <c r="B105" s="71" t="s">
        <v>43</v>
      </c>
      <c r="C105" s="66" t="s">
        <v>41</v>
      </c>
      <c r="D105" s="67" t="s">
        <v>12</v>
      </c>
      <c r="E105" s="73">
        <v>1</v>
      </c>
      <c r="F105" s="74"/>
      <c r="G105" s="74"/>
    </row>
    <row r="106" spans="1:7" ht="14.25">
      <c r="A106" s="66" t="s">
        <v>32</v>
      </c>
      <c r="B106" s="71" t="s">
        <v>44</v>
      </c>
      <c r="C106" s="66" t="s">
        <v>42</v>
      </c>
      <c r="D106" s="67" t="s">
        <v>12</v>
      </c>
      <c r="E106" s="73">
        <v>1</v>
      </c>
      <c r="F106" s="74"/>
      <c r="G106" s="74"/>
    </row>
    <row r="108" spans="1:7" ht="14.25">
      <c r="A108" s="66"/>
      <c r="B108" s="66"/>
      <c r="C108" s="66" t="s">
        <v>24</v>
      </c>
      <c r="D108" s="67" t="s">
        <v>25</v>
      </c>
      <c r="E108" s="70" t="s">
        <v>47</v>
      </c>
      <c r="F108" s="67"/>
      <c r="G108" s="67"/>
    </row>
    <row r="109" spans="1:7" ht="25.5">
      <c r="A109" s="66" t="s">
        <v>35</v>
      </c>
      <c r="B109" s="68" t="s">
        <v>135</v>
      </c>
      <c r="C109" s="68" t="s">
        <v>235</v>
      </c>
      <c r="D109" s="69" t="s">
        <v>90</v>
      </c>
      <c r="E109" s="72">
        <f>SUM(G111:G117)</f>
        <v>0</v>
      </c>
      <c r="F109" s="67"/>
      <c r="G109" s="67"/>
    </row>
    <row r="110" spans="1:7" ht="14.25">
      <c r="A110" s="66"/>
      <c r="B110" s="66" t="s">
        <v>2</v>
      </c>
      <c r="C110" s="66" t="s">
        <v>27</v>
      </c>
      <c r="D110" s="67" t="s">
        <v>25</v>
      </c>
      <c r="E110" s="70" t="s">
        <v>28</v>
      </c>
      <c r="F110" s="67" t="s">
        <v>29</v>
      </c>
      <c r="G110" s="67" t="s">
        <v>30</v>
      </c>
    </row>
    <row r="111" spans="1:7" ht="14.25">
      <c r="A111" s="16" t="s">
        <v>630</v>
      </c>
      <c r="B111" s="71">
        <v>4823</v>
      </c>
      <c r="C111" s="66" t="s">
        <v>223</v>
      </c>
      <c r="D111" s="67" t="s">
        <v>31</v>
      </c>
      <c r="E111" s="73" t="s">
        <v>228</v>
      </c>
      <c r="F111" s="74"/>
      <c r="G111" s="74"/>
    </row>
    <row r="112" spans="1:7" ht="38.25">
      <c r="A112" s="16" t="s">
        <v>630</v>
      </c>
      <c r="B112" s="71">
        <v>7568</v>
      </c>
      <c r="C112" s="66" t="s">
        <v>80</v>
      </c>
      <c r="D112" s="67" t="s">
        <v>12</v>
      </c>
      <c r="E112" s="73" t="s">
        <v>229</v>
      </c>
      <c r="F112" s="74"/>
      <c r="G112" s="74"/>
    </row>
    <row r="113" spans="1:7" ht="38.25">
      <c r="A113" s="16" t="s">
        <v>630</v>
      </c>
      <c r="B113" s="71">
        <v>11795</v>
      </c>
      <c r="C113" s="66" t="s">
        <v>224</v>
      </c>
      <c r="D113" s="67" t="s">
        <v>90</v>
      </c>
      <c r="E113" s="73" t="s">
        <v>230</v>
      </c>
      <c r="F113" s="74"/>
      <c r="G113" s="74"/>
    </row>
    <row r="114" spans="1:7" ht="14.25">
      <c r="A114" s="16" t="s">
        <v>630</v>
      </c>
      <c r="B114" s="71">
        <v>37329</v>
      </c>
      <c r="C114" s="66" t="s">
        <v>225</v>
      </c>
      <c r="D114" s="67" t="s">
        <v>31</v>
      </c>
      <c r="E114" s="73" t="s">
        <v>231</v>
      </c>
      <c r="F114" s="74"/>
      <c r="G114" s="74"/>
    </row>
    <row r="115" spans="1:7" ht="25.5">
      <c r="A115" s="16" t="s">
        <v>630</v>
      </c>
      <c r="B115" s="71">
        <v>37591</v>
      </c>
      <c r="C115" s="66" t="s">
        <v>226</v>
      </c>
      <c r="D115" s="67" t="s">
        <v>12</v>
      </c>
      <c r="E115" s="73">
        <v>3</v>
      </c>
      <c r="F115" s="74"/>
      <c r="G115" s="74"/>
    </row>
    <row r="116" spans="1:7" ht="14.25">
      <c r="A116" s="16" t="s">
        <v>630</v>
      </c>
      <c r="B116" s="71">
        <v>88274</v>
      </c>
      <c r="C116" s="66" t="s">
        <v>227</v>
      </c>
      <c r="D116" s="67" t="s">
        <v>17</v>
      </c>
      <c r="E116" s="73" t="s">
        <v>233</v>
      </c>
      <c r="F116" s="74"/>
      <c r="G116" s="74"/>
    </row>
    <row r="117" spans="1:7" ht="14.25">
      <c r="A117" s="16" t="s">
        <v>630</v>
      </c>
      <c r="B117" s="71" t="s">
        <v>125</v>
      </c>
      <c r="C117" s="66" t="s">
        <v>67</v>
      </c>
      <c r="D117" s="67" t="s">
        <v>17</v>
      </c>
      <c r="E117" s="73" t="s">
        <v>234</v>
      </c>
      <c r="F117" s="74"/>
      <c r="G117" s="74"/>
    </row>
    <row r="119" spans="1:7" ht="14.25">
      <c r="A119" s="66"/>
      <c r="B119" s="66"/>
      <c r="C119" s="66" t="s">
        <v>24</v>
      </c>
      <c r="D119" s="67" t="s">
        <v>25</v>
      </c>
      <c r="E119" s="70" t="s">
        <v>47</v>
      </c>
      <c r="F119" s="67"/>
      <c r="G119" s="67"/>
    </row>
    <row r="120" spans="1:7" ht="25.5">
      <c r="A120" s="66" t="s">
        <v>35</v>
      </c>
      <c r="B120" s="68" t="s">
        <v>136</v>
      </c>
      <c r="C120" s="68" t="s">
        <v>239</v>
      </c>
      <c r="D120" s="69" t="s">
        <v>12</v>
      </c>
      <c r="E120" s="72">
        <f>SUM(G122:G124)</f>
        <v>0</v>
      </c>
      <c r="F120" s="67"/>
      <c r="G120" s="67"/>
    </row>
    <row r="121" spans="1:7" ht="14.25">
      <c r="A121" s="66"/>
      <c r="B121" s="66" t="s">
        <v>2</v>
      </c>
      <c r="C121" s="66" t="s">
        <v>27</v>
      </c>
      <c r="D121" s="67" t="s">
        <v>25</v>
      </c>
      <c r="E121" s="70" t="s">
        <v>28</v>
      </c>
      <c r="F121" s="67" t="s">
        <v>29</v>
      </c>
      <c r="G121" s="67" t="s">
        <v>30</v>
      </c>
    </row>
    <row r="122" spans="1:7" ht="51">
      <c r="A122" s="16" t="s">
        <v>630</v>
      </c>
      <c r="B122" s="71">
        <v>93402</v>
      </c>
      <c r="C122" s="66" t="s">
        <v>240</v>
      </c>
      <c r="D122" s="67" t="s">
        <v>54</v>
      </c>
      <c r="E122" s="73">
        <v>1</v>
      </c>
      <c r="F122" s="74"/>
      <c r="G122" s="74"/>
    </row>
    <row r="123" spans="1:7" ht="51">
      <c r="A123" s="16" t="s">
        <v>630</v>
      </c>
      <c r="B123" s="71">
        <v>93403</v>
      </c>
      <c r="C123" s="66" t="s">
        <v>241</v>
      </c>
      <c r="D123" s="67" t="s">
        <v>55</v>
      </c>
      <c r="E123" s="73">
        <v>1.4</v>
      </c>
      <c r="F123" s="74"/>
      <c r="G123" s="74"/>
    </row>
    <row r="124" spans="1:7" ht="14.25">
      <c r="A124" s="16" t="s">
        <v>630</v>
      </c>
      <c r="B124" s="71" t="s">
        <v>125</v>
      </c>
      <c r="C124" s="66" t="s">
        <v>67</v>
      </c>
      <c r="D124" s="67" t="s">
        <v>17</v>
      </c>
      <c r="E124" s="73">
        <v>2</v>
      </c>
      <c r="F124" s="74"/>
      <c r="G124" s="74"/>
    </row>
    <row r="126" spans="1:7" ht="14.25">
      <c r="A126" s="66"/>
      <c r="B126" s="66"/>
      <c r="C126" s="66" t="s">
        <v>24</v>
      </c>
      <c r="D126" s="67" t="s">
        <v>25</v>
      </c>
      <c r="E126" s="70" t="s">
        <v>47</v>
      </c>
      <c r="F126" s="67"/>
      <c r="G126" s="67"/>
    </row>
    <row r="127" spans="1:7" ht="38.25">
      <c r="A127" s="66" t="s">
        <v>35</v>
      </c>
      <c r="B127" s="68" t="s">
        <v>138</v>
      </c>
      <c r="C127" s="68" t="s">
        <v>264</v>
      </c>
      <c r="D127" s="69" t="s">
        <v>12</v>
      </c>
      <c r="E127" s="72" t="e">
        <f>AVERAGE(G129:G131)</f>
        <v>#DIV/0!</v>
      </c>
      <c r="F127" s="67"/>
      <c r="G127" s="67"/>
    </row>
    <row r="128" spans="1:7" ht="14.25">
      <c r="A128" s="66"/>
      <c r="B128" s="66" t="s">
        <v>2</v>
      </c>
      <c r="C128" s="66" t="s">
        <v>27</v>
      </c>
      <c r="D128" s="67" t="s">
        <v>25</v>
      </c>
      <c r="E128" s="70" t="s">
        <v>28</v>
      </c>
      <c r="F128" s="67" t="s">
        <v>29</v>
      </c>
      <c r="G128" s="67" t="s">
        <v>30</v>
      </c>
    </row>
    <row r="129" spans="1:7" ht="14.25">
      <c r="A129" s="66" t="s">
        <v>32</v>
      </c>
      <c r="B129" s="71" t="s">
        <v>39</v>
      </c>
      <c r="C129" s="66" t="s">
        <v>242</v>
      </c>
      <c r="D129" s="67" t="s">
        <v>12</v>
      </c>
      <c r="E129" s="73">
        <v>1</v>
      </c>
      <c r="F129" s="74"/>
      <c r="G129" s="74"/>
    </row>
    <row r="130" spans="1:7" ht="14.25">
      <c r="A130" s="66" t="s">
        <v>32</v>
      </c>
      <c r="B130" s="71" t="s">
        <v>40</v>
      </c>
      <c r="C130" s="66" t="s">
        <v>244</v>
      </c>
      <c r="D130" s="67" t="s">
        <v>12</v>
      </c>
      <c r="E130" s="73">
        <v>1</v>
      </c>
      <c r="F130" s="74"/>
      <c r="G130" s="74"/>
    </row>
    <row r="131" spans="1:7" ht="14.25">
      <c r="A131" s="66" t="s">
        <v>32</v>
      </c>
      <c r="B131" s="82" t="s">
        <v>43</v>
      </c>
      <c r="C131" s="66" t="s">
        <v>243</v>
      </c>
      <c r="D131" s="67" t="s">
        <v>12</v>
      </c>
      <c r="E131" s="73">
        <v>1</v>
      </c>
      <c r="F131" s="74"/>
      <c r="G131" s="74"/>
    </row>
    <row r="133" spans="1:7" ht="14.25">
      <c r="A133" s="66"/>
      <c r="B133" s="66"/>
      <c r="C133" s="66" t="s">
        <v>24</v>
      </c>
      <c r="D133" s="67" t="s">
        <v>25</v>
      </c>
      <c r="E133" s="70" t="s">
        <v>47</v>
      </c>
      <c r="F133" s="67"/>
      <c r="G133" s="67"/>
    </row>
    <row r="134" spans="1:7" ht="38.25">
      <c r="A134" s="66" t="s">
        <v>35</v>
      </c>
      <c r="B134" s="68" t="s">
        <v>139</v>
      </c>
      <c r="C134" s="68" t="s">
        <v>246</v>
      </c>
      <c r="D134" s="69" t="s">
        <v>12</v>
      </c>
      <c r="E134" s="72">
        <f>SUM(G136:G139)</f>
        <v>0</v>
      </c>
      <c r="F134" s="67"/>
      <c r="G134" s="67"/>
    </row>
    <row r="135" spans="1:7" ht="14.25">
      <c r="A135" s="66"/>
      <c r="B135" s="66" t="s">
        <v>2</v>
      </c>
      <c r="C135" s="66" t="s">
        <v>27</v>
      </c>
      <c r="D135" s="67" t="s">
        <v>25</v>
      </c>
      <c r="E135" s="70" t="s">
        <v>28</v>
      </c>
      <c r="F135" s="67" t="s">
        <v>29</v>
      </c>
      <c r="G135" s="67" t="s">
        <v>30</v>
      </c>
    </row>
    <row r="136" spans="1:7" ht="38.25">
      <c r="A136" s="66" t="s">
        <v>32</v>
      </c>
      <c r="B136" s="71" t="str">
        <f>B127</f>
        <v>CP 012A</v>
      </c>
      <c r="C136" s="66" t="str">
        <f>C127</f>
        <v>LUMINARIA LED REFLETOR RETANGULAR BIVOLT, LUZ BRANCA, 6500K, 100 W, VIDA ÚTIL MÍNIMA DE 30.000 HORAS, ÂNGULO DE ILUMINAÇÃO DE 120º, LÚMENS MÍNIMO DE 9000 lm</v>
      </c>
      <c r="D136" s="67" t="str">
        <f>D127</f>
        <v>UN</v>
      </c>
      <c r="E136" s="73">
        <v>1</v>
      </c>
      <c r="F136" s="74"/>
      <c r="G136" s="74"/>
    </row>
    <row r="137" spans="1:7" ht="25.5">
      <c r="A137" s="16" t="s">
        <v>630</v>
      </c>
      <c r="B137" s="71">
        <v>21127</v>
      </c>
      <c r="C137" s="66" t="s">
        <v>245</v>
      </c>
      <c r="D137" s="67" t="s">
        <v>12</v>
      </c>
      <c r="E137" s="73">
        <v>0.042</v>
      </c>
      <c r="F137" s="74"/>
      <c r="G137" s="74"/>
    </row>
    <row r="138" spans="1:7" ht="14.25">
      <c r="A138" s="16" t="s">
        <v>630</v>
      </c>
      <c r="B138" s="71" t="s">
        <v>150</v>
      </c>
      <c r="C138" s="66" t="s">
        <v>151</v>
      </c>
      <c r="D138" s="67" t="s">
        <v>17</v>
      </c>
      <c r="E138" s="73">
        <v>0.5888</v>
      </c>
      <c r="F138" s="74"/>
      <c r="G138" s="74"/>
    </row>
    <row r="139" spans="1:7" ht="14.25">
      <c r="A139" s="16" t="s">
        <v>630</v>
      </c>
      <c r="B139" s="71" t="s">
        <v>152</v>
      </c>
      <c r="C139" s="66" t="s">
        <v>153</v>
      </c>
      <c r="D139" s="67" t="s">
        <v>17</v>
      </c>
      <c r="E139" s="73">
        <v>0.5888</v>
      </c>
      <c r="F139" s="74"/>
      <c r="G139" s="74"/>
    </row>
    <row r="141" spans="1:7" ht="14.25">
      <c r="A141" s="66"/>
      <c r="B141" s="66"/>
      <c r="C141" s="66" t="s">
        <v>24</v>
      </c>
      <c r="D141" s="67" t="s">
        <v>25</v>
      </c>
      <c r="E141" s="70" t="s">
        <v>47</v>
      </c>
      <c r="F141" s="67"/>
      <c r="G141" s="67"/>
    </row>
    <row r="142" spans="1:7" ht="25.5">
      <c r="A142" s="66" t="s">
        <v>35</v>
      </c>
      <c r="B142" s="68" t="s">
        <v>154</v>
      </c>
      <c r="C142" s="68" t="s">
        <v>289</v>
      </c>
      <c r="D142" s="69" t="s">
        <v>18</v>
      </c>
      <c r="E142" s="72" t="e">
        <f>AVERAGE(G144:G146)</f>
        <v>#DIV/0!</v>
      </c>
      <c r="F142" s="67"/>
      <c r="G142" s="67"/>
    </row>
    <row r="143" spans="1:7" ht="14.25">
      <c r="A143" s="66"/>
      <c r="B143" s="66" t="s">
        <v>2</v>
      </c>
      <c r="C143" s="66" t="s">
        <v>27</v>
      </c>
      <c r="D143" s="67" t="s">
        <v>25</v>
      </c>
      <c r="E143" s="70" t="s">
        <v>28</v>
      </c>
      <c r="F143" s="67" t="s">
        <v>29</v>
      </c>
      <c r="G143" s="67" t="s">
        <v>30</v>
      </c>
    </row>
    <row r="144" spans="1:7" ht="14.25">
      <c r="A144" s="66" t="s">
        <v>32</v>
      </c>
      <c r="B144" s="71" t="s">
        <v>39</v>
      </c>
      <c r="C144" s="66" t="s">
        <v>249</v>
      </c>
      <c r="D144" s="67" t="s">
        <v>12</v>
      </c>
      <c r="E144" s="73">
        <f>1/3</f>
        <v>0.3333333333333333</v>
      </c>
      <c r="F144" s="74"/>
      <c r="G144" s="74"/>
    </row>
    <row r="145" spans="1:7" ht="14.25">
      <c r="A145" s="66" t="s">
        <v>32</v>
      </c>
      <c r="B145" s="71" t="s">
        <v>40</v>
      </c>
      <c r="C145" s="66" t="s">
        <v>250</v>
      </c>
      <c r="D145" s="67" t="s">
        <v>12</v>
      </c>
      <c r="E145" s="73">
        <f>1/3</f>
        <v>0.3333333333333333</v>
      </c>
      <c r="F145" s="74"/>
      <c r="G145" s="74"/>
    </row>
    <row r="146" spans="1:7" ht="14.25">
      <c r="A146" s="66" t="s">
        <v>32</v>
      </c>
      <c r="B146" s="82" t="s">
        <v>43</v>
      </c>
      <c r="C146" s="66" t="s">
        <v>251</v>
      </c>
      <c r="D146" s="67" t="s">
        <v>12</v>
      </c>
      <c r="E146" s="73">
        <f>1/3</f>
        <v>0.3333333333333333</v>
      </c>
      <c r="F146" s="74"/>
      <c r="G146" s="74"/>
    </row>
    <row r="148" spans="1:7" ht="14.25">
      <c r="A148" s="66"/>
      <c r="B148" s="66"/>
      <c r="C148" s="66" t="s">
        <v>24</v>
      </c>
      <c r="D148" s="67" t="s">
        <v>25</v>
      </c>
      <c r="E148" s="70" t="s">
        <v>47</v>
      </c>
      <c r="F148" s="67"/>
      <c r="G148" s="67"/>
    </row>
    <row r="149" spans="1:7" ht="25.5">
      <c r="A149" s="66" t="s">
        <v>35</v>
      </c>
      <c r="B149" s="68" t="s">
        <v>148</v>
      </c>
      <c r="C149" s="68" t="s">
        <v>290</v>
      </c>
      <c r="D149" s="69" t="s">
        <v>12</v>
      </c>
      <c r="E149" s="72">
        <f>SUM(G151:G154)</f>
        <v>0</v>
      </c>
      <c r="F149" s="67"/>
      <c r="G149" s="67"/>
    </row>
    <row r="150" spans="1:7" ht="14.25">
      <c r="A150" s="66"/>
      <c r="B150" s="66" t="s">
        <v>2</v>
      </c>
      <c r="C150" s="66" t="s">
        <v>27</v>
      </c>
      <c r="D150" s="67" t="s">
        <v>25</v>
      </c>
      <c r="E150" s="70" t="s">
        <v>28</v>
      </c>
      <c r="F150" s="67" t="s">
        <v>29</v>
      </c>
      <c r="G150" s="67" t="s">
        <v>30</v>
      </c>
    </row>
    <row r="151" spans="1:7" ht="25.5">
      <c r="A151" s="66" t="s">
        <v>32</v>
      </c>
      <c r="B151" s="71" t="str">
        <f>B142</f>
        <v>CP 013A</v>
      </c>
      <c r="C151" s="66" t="str">
        <f>C142</f>
        <v>ELETRODUTO DE FERRO GALVANIZADO FOGO PESADO 3"- NBR5624</v>
      </c>
      <c r="D151" s="67" t="str">
        <f>D142</f>
        <v>M</v>
      </c>
      <c r="E151" s="73">
        <v>1</v>
      </c>
      <c r="F151" s="74"/>
      <c r="G151" s="74"/>
    </row>
    <row r="152" spans="1:7" ht="25.5">
      <c r="A152" s="16" t="s">
        <v>630</v>
      </c>
      <c r="B152" s="71">
        <v>91175</v>
      </c>
      <c r="C152" s="66" t="s">
        <v>291</v>
      </c>
      <c r="D152" s="67" t="s">
        <v>18</v>
      </c>
      <c r="E152" s="73">
        <v>1</v>
      </c>
      <c r="F152" s="74"/>
      <c r="G152" s="74"/>
    </row>
    <row r="153" spans="1:7" ht="14.25">
      <c r="A153" s="16" t="s">
        <v>630</v>
      </c>
      <c r="B153" s="71" t="s">
        <v>150</v>
      </c>
      <c r="C153" s="66" t="s">
        <v>151</v>
      </c>
      <c r="D153" s="67" t="s">
        <v>17</v>
      </c>
      <c r="E153" s="73">
        <v>0.5888</v>
      </c>
      <c r="F153" s="74"/>
      <c r="G153" s="74"/>
    </row>
    <row r="154" spans="1:7" ht="14.25">
      <c r="A154" s="16" t="s">
        <v>630</v>
      </c>
      <c r="B154" s="71" t="s">
        <v>152</v>
      </c>
      <c r="C154" s="66" t="s">
        <v>153</v>
      </c>
      <c r="D154" s="67" t="s">
        <v>17</v>
      </c>
      <c r="E154" s="73">
        <v>0.5888</v>
      </c>
      <c r="F154" s="74"/>
      <c r="G154" s="74"/>
    </row>
    <row r="156" spans="1:7" ht="14.25">
      <c r="A156" s="66"/>
      <c r="B156" s="66"/>
      <c r="C156" s="66" t="s">
        <v>24</v>
      </c>
      <c r="D156" s="67" t="s">
        <v>25</v>
      </c>
      <c r="E156" s="70" t="s">
        <v>47</v>
      </c>
      <c r="F156" s="67"/>
      <c r="G156" s="67"/>
    </row>
    <row r="157" spans="1:7" ht="25.5">
      <c r="A157" s="66" t="s">
        <v>35</v>
      </c>
      <c r="B157" s="68" t="s">
        <v>175</v>
      </c>
      <c r="C157" s="68" t="s">
        <v>252</v>
      </c>
      <c r="D157" s="69" t="s">
        <v>12</v>
      </c>
      <c r="E157" s="72" t="e">
        <f>AVERAGE(G159:G161)</f>
        <v>#DIV/0!</v>
      </c>
      <c r="F157" s="67"/>
      <c r="G157" s="67"/>
    </row>
    <row r="158" spans="1:7" ht="14.25">
      <c r="A158" s="66"/>
      <c r="B158" s="66" t="s">
        <v>2</v>
      </c>
      <c r="C158" s="66" t="s">
        <v>27</v>
      </c>
      <c r="D158" s="67" t="s">
        <v>25</v>
      </c>
      <c r="E158" s="70" t="s">
        <v>28</v>
      </c>
      <c r="F158" s="67" t="s">
        <v>29</v>
      </c>
      <c r="G158" s="67" t="s">
        <v>30</v>
      </c>
    </row>
    <row r="159" spans="1:7" ht="14.25">
      <c r="A159" s="66" t="s">
        <v>32</v>
      </c>
      <c r="B159" s="71" t="s">
        <v>39</v>
      </c>
      <c r="C159" s="66" t="s">
        <v>253</v>
      </c>
      <c r="D159" s="67" t="s">
        <v>25</v>
      </c>
      <c r="E159" s="73">
        <v>1</v>
      </c>
      <c r="F159" s="74"/>
      <c r="G159" s="74"/>
    </row>
    <row r="160" spans="1:7" ht="14.25">
      <c r="A160" s="66" t="s">
        <v>32</v>
      </c>
      <c r="B160" s="71" t="s">
        <v>40</v>
      </c>
      <c r="C160" s="66" t="s">
        <v>254</v>
      </c>
      <c r="D160" s="67" t="s">
        <v>25</v>
      </c>
      <c r="E160" s="73">
        <v>1</v>
      </c>
      <c r="F160" s="74"/>
      <c r="G160" s="74"/>
    </row>
    <row r="161" spans="1:7" ht="14.25">
      <c r="A161" s="66" t="s">
        <v>32</v>
      </c>
      <c r="B161" s="82" t="s">
        <v>43</v>
      </c>
      <c r="C161" s="66" t="s">
        <v>255</v>
      </c>
      <c r="D161" s="67" t="s">
        <v>25</v>
      </c>
      <c r="E161" s="73">
        <v>1</v>
      </c>
      <c r="F161" s="74"/>
      <c r="G161" s="74"/>
    </row>
    <row r="163" spans="1:7" ht="14.25">
      <c r="A163" s="66"/>
      <c r="B163" s="66"/>
      <c r="C163" s="66" t="s">
        <v>24</v>
      </c>
      <c r="D163" s="67" t="s">
        <v>25</v>
      </c>
      <c r="E163" s="70" t="s">
        <v>47</v>
      </c>
      <c r="F163" s="67"/>
      <c r="G163" s="67"/>
    </row>
    <row r="164" spans="1:7" ht="25.5">
      <c r="A164" s="66" t="s">
        <v>35</v>
      </c>
      <c r="B164" s="68" t="s">
        <v>292</v>
      </c>
      <c r="C164" s="68" t="s">
        <v>256</v>
      </c>
      <c r="D164" s="69" t="s">
        <v>12</v>
      </c>
      <c r="E164" s="72" t="e">
        <f>AVERAGE(G166:G168)</f>
        <v>#DIV/0!</v>
      </c>
      <c r="F164" s="67"/>
      <c r="G164" s="67"/>
    </row>
    <row r="165" spans="1:7" ht="14.25">
      <c r="A165" s="66"/>
      <c r="B165" s="66" t="s">
        <v>2</v>
      </c>
      <c r="C165" s="66" t="s">
        <v>27</v>
      </c>
      <c r="D165" s="67" t="s">
        <v>25</v>
      </c>
      <c r="E165" s="70" t="s">
        <v>28</v>
      </c>
      <c r="F165" s="67" t="s">
        <v>29</v>
      </c>
      <c r="G165" s="67" t="s">
        <v>30</v>
      </c>
    </row>
    <row r="166" spans="1:7" ht="14.25">
      <c r="A166" s="66" t="s">
        <v>32</v>
      </c>
      <c r="B166" s="71" t="s">
        <v>39</v>
      </c>
      <c r="C166" s="66" t="s">
        <v>273</v>
      </c>
      <c r="D166" s="67" t="s">
        <v>25</v>
      </c>
      <c r="E166" s="73">
        <v>1</v>
      </c>
      <c r="F166" s="74"/>
      <c r="G166" s="74"/>
    </row>
    <row r="167" spans="1:7" ht="14.25">
      <c r="A167" s="66" t="s">
        <v>32</v>
      </c>
      <c r="B167" s="71" t="s">
        <v>40</v>
      </c>
      <c r="C167" s="66" t="s">
        <v>274</v>
      </c>
      <c r="D167" s="67" t="s">
        <v>25</v>
      </c>
      <c r="E167" s="73">
        <v>1</v>
      </c>
      <c r="F167" s="74"/>
      <c r="G167" s="74"/>
    </row>
    <row r="168" spans="1:7" ht="14.25">
      <c r="A168" s="66" t="s">
        <v>32</v>
      </c>
      <c r="B168" s="82" t="s">
        <v>43</v>
      </c>
      <c r="C168" s="66" t="s">
        <v>275</v>
      </c>
      <c r="D168" s="67" t="s">
        <v>25</v>
      </c>
      <c r="E168" s="73">
        <v>1</v>
      </c>
      <c r="F168" s="74"/>
      <c r="G168" s="74"/>
    </row>
    <row r="170" spans="1:7" ht="14.25">
      <c r="A170" s="66"/>
      <c r="B170" s="66"/>
      <c r="C170" s="66" t="s">
        <v>24</v>
      </c>
      <c r="D170" s="67" t="s">
        <v>25</v>
      </c>
      <c r="E170" s="70" t="s">
        <v>47</v>
      </c>
      <c r="F170" s="67"/>
      <c r="G170" s="67"/>
    </row>
    <row r="171" spans="1:7" ht="25.5">
      <c r="A171" s="66" t="s">
        <v>35</v>
      </c>
      <c r="B171" s="68" t="s">
        <v>293</v>
      </c>
      <c r="C171" s="68" t="s">
        <v>258</v>
      </c>
      <c r="D171" s="69" t="s">
        <v>18</v>
      </c>
      <c r="E171" s="72" t="e">
        <f>AVERAGE(G173:G175)</f>
        <v>#DIV/0!</v>
      </c>
      <c r="F171" s="67"/>
      <c r="G171" s="67"/>
    </row>
    <row r="172" spans="1:7" ht="14.25">
      <c r="A172" s="66"/>
      <c r="B172" s="66" t="s">
        <v>2</v>
      </c>
      <c r="C172" s="66" t="s">
        <v>27</v>
      </c>
      <c r="D172" s="67" t="s">
        <v>25</v>
      </c>
      <c r="E172" s="70" t="s">
        <v>28</v>
      </c>
      <c r="F172" s="67" t="s">
        <v>29</v>
      </c>
      <c r="G172" s="67" t="s">
        <v>30</v>
      </c>
    </row>
    <row r="173" spans="1:7" ht="14.25">
      <c r="A173" s="66" t="s">
        <v>32</v>
      </c>
      <c r="B173" s="71" t="s">
        <v>39</v>
      </c>
      <c r="C173" s="66" t="s">
        <v>257</v>
      </c>
      <c r="D173" s="67" t="s">
        <v>18</v>
      </c>
      <c r="E173" s="73">
        <v>1</v>
      </c>
      <c r="F173" s="74"/>
      <c r="G173" s="74"/>
    </row>
    <row r="174" spans="1:7" ht="14.25">
      <c r="A174" s="66" t="s">
        <v>32</v>
      </c>
      <c r="B174" s="71" t="s">
        <v>40</v>
      </c>
      <c r="C174" s="66" t="s">
        <v>259</v>
      </c>
      <c r="D174" s="67" t="s">
        <v>18</v>
      </c>
      <c r="E174" s="73">
        <v>1</v>
      </c>
      <c r="F174" s="74"/>
      <c r="G174" s="74"/>
    </row>
    <row r="175" spans="1:7" ht="14.25">
      <c r="A175" s="66" t="s">
        <v>32</v>
      </c>
      <c r="B175" s="82" t="s">
        <v>43</v>
      </c>
      <c r="C175" s="66" t="s">
        <v>260</v>
      </c>
      <c r="D175" s="67" t="s">
        <v>18</v>
      </c>
      <c r="E175" s="73">
        <v>1</v>
      </c>
      <c r="F175" s="74"/>
      <c r="G175" s="74"/>
    </row>
    <row r="177" spans="1:7" ht="14.25">
      <c r="A177" s="66"/>
      <c r="B177" s="66"/>
      <c r="C177" s="66" t="s">
        <v>24</v>
      </c>
      <c r="D177" s="67" t="s">
        <v>25</v>
      </c>
      <c r="E177" s="70" t="s">
        <v>47</v>
      </c>
      <c r="F177" s="67"/>
      <c r="G177" s="67"/>
    </row>
    <row r="178" spans="1:7" ht="25.5">
      <c r="A178" s="66" t="s">
        <v>35</v>
      </c>
      <c r="B178" s="68" t="s">
        <v>294</v>
      </c>
      <c r="C178" s="68" t="s">
        <v>261</v>
      </c>
      <c r="D178" s="69" t="s">
        <v>18</v>
      </c>
      <c r="E178" s="72" t="e">
        <f>AVERAGE(G180:G182)</f>
        <v>#DIV/0!</v>
      </c>
      <c r="F178" s="67"/>
      <c r="G178" s="67"/>
    </row>
    <row r="179" spans="1:7" ht="14.25">
      <c r="A179" s="66"/>
      <c r="B179" s="66" t="s">
        <v>2</v>
      </c>
      <c r="C179" s="66" t="s">
        <v>27</v>
      </c>
      <c r="D179" s="67" t="s">
        <v>25</v>
      </c>
      <c r="E179" s="70" t="s">
        <v>28</v>
      </c>
      <c r="F179" s="67" t="s">
        <v>29</v>
      </c>
      <c r="G179" s="67" t="s">
        <v>30</v>
      </c>
    </row>
    <row r="180" spans="1:7" ht="14.25">
      <c r="A180" s="66" t="s">
        <v>32</v>
      </c>
      <c r="B180" s="71" t="s">
        <v>39</v>
      </c>
      <c r="C180" s="66" t="s">
        <v>257</v>
      </c>
      <c r="D180" s="67" t="s">
        <v>18</v>
      </c>
      <c r="E180" s="73">
        <v>1</v>
      </c>
      <c r="F180" s="74"/>
      <c r="G180" s="74"/>
    </row>
    <row r="181" spans="1:7" ht="14.25">
      <c r="A181" s="66" t="s">
        <v>32</v>
      </c>
      <c r="B181" s="71" t="s">
        <v>40</v>
      </c>
      <c r="C181" s="66" t="s">
        <v>259</v>
      </c>
      <c r="D181" s="67" t="s">
        <v>18</v>
      </c>
      <c r="E181" s="73">
        <v>1</v>
      </c>
      <c r="F181" s="74"/>
      <c r="G181" s="74"/>
    </row>
    <row r="182" spans="1:7" ht="14.25">
      <c r="A182" s="66" t="s">
        <v>32</v>
      </c>
      <c r="B182" s="82" t="s">
        <v>43</v>
      </c>
      <c r="C182" s="66" t="s">
        <v>262</v>
      </c>
      <c r="D182" s="67" t="s">
        <v>18</v>
      </c>
      <c r="E182" s="73">
        <v>1</v>
      </c>
      <c r="F182" s="74"/>
      <c r="G182" s="74"/>
    </row>
    <row r="184" spans="1:7" ht="14.25">
      <c r="A184" s="66"/>
      <c r="B184" s="66"/>
      <c r="C184" s="66" t="s">
        <v>24</v>
      </c>
      <c r="D184" s="67" t="s">
        <v>25</v>
      </c>
      <c r="E184" s="70" t="s">
        <v>47</v>
      </c>
      <c r="F184" s="67"/>
      <c r="G184" s="67"/>
    </row>
    <row r="185" spans="1:7" ht="25.5">
      <c r="A185" s="66" t="s">
        <v>35</v>
      </c>
      <c r="B185" s="68" t="s">
        <v>295</v>
      </c>
      <c r="C185" s="68" t="s">
        <v>278</v>
      </c>
      <c r="D185" s="69" t="s">
        <v>12</v>
      </c>
      <c r="E185" s="72" t="e">
        <f>AVERAGE(G187:G189)</f>
        <v>#DIV/0!</v>
      </c>
      <c r="F185" s="67"/>
      <c r="G185" s="67"/>
    </row>
    <row r="186" spans="1:7" ht="14.25">
      <c r="A186" s="66"/>
      <c r="B186" s="66" t="s">
        <v>2</v>
      </c>
      <c r="C186" s="66" t="s">
        <v>27</v>
      </c>
      <c r="D186" s="67" t="s">
        <v>25</v>
      </c>
      <c r="E186" s="70" t="s">
        <v>28</v>
      </c>
      <c r="F186" s="67" t="s">
        <v>29</v>
      </c>
      <c r="G186" s="67" t="s">
        <v>30</v>
      </c>
    </row>
    <row r="187" spans="1:7" ht="14.25">
      <c r="A187" s="66" t="s">
        <v>32</v>
      </c>
      <c r="B187" s="71" t="s">
        <v>39</v>
      </c>
      <c r="C187" s="66" t="s">
        <v>279</v>
      </c>
      <c r="D187" s="67" t="s">
        <v>12</v>
      </c>
      <c r="E187" s="73">
        <v>1</v>
      </c>
      <c r="F187" s="74"/>
      <c r="G187" s="74"/>
    </row>
    <row r="188" spans="1:7" ht="14.25">
      <c r="A188" s="66" t="s">
        <v>32</v>
      </c>
      <c r="B188" s="71" t="s">
        <v>40</v>
      </c>
      <c r="C188" s="66" t="s">
        <v>280</v>
      </c>
      <c r="D188" s="67" t="s">
        <v>12</v>
      </c>
      <c r="E188" s="73">
        <v>1</v>
      </c>
      <c r="F188" s="74"/>
      <c r="G188" s="74"/>
    </row>
    <row r="189" spans="1:7" ht="14.25">
      <c r="A189" s="66" t="s">
        <v>32</v>
      </c>
      <c r="B189" s="82" t="s">
        <v>43</v>
      </c>
      <c r="C189" s="66" t="s">
        <v>274</v>
      </c>
      <c r="D189" s="67" t="s">
        <v>12</v>
      </c>
      <c r="E189" s="73">
        <v>1</v>
      </c>
      <c r="F189" s="74"/>
      <c r="G189" s="74"/>
    </row>
    <row r="191" spans="1:7" ht="14.25">
      <c r="A191" s="66"/>
      <c r="B191" s="66"/>
      <c r="C191" s="66" t="s">
        <v>24</v>
      </c>
      <c r="D191" s="67" t="s">
        <v>25</v>
      </c>
      <c r="E191" s="70" t="s">
        <v>47</v>
      </c>
      <c r="F191" s="67"/>
      <c r="G191" s="67"/>
    </row>
    <row r="192" spans="1:7" ht="46.5" customHeight="1">
      <c r="A192" s="66" t="s">
        <v>35</v>
      </c>
      <c r="B192" s="68" t="s">
        <v>296</v>
      </c>
      <c r="C192" s="68" t="s">
        <v>297</v>
      </c>
      <c r="D192" s="69" t="s">
        <v>12</v>
      </c>
      <c r="E192" s="72" t="e">
        <f>AVERAGE(G194:G196)</f>
        <v>#DIV/0!</v>
      </c>
      <c r="F192" s="67"/>
      <c r="G192" s="67"/>
    </row>
    <row r="193" spans="1:7" ht="14.25">
      <c r="A193" s="66"/>
      <c r="B193" s="66" t="s">
        <v>2</v>
      </c>
      <c r="C193" s="66" t="s">
        <v>27</v>
      </c>
      <c r="D193" s="67" t="s">
        <v>25</v>
      </c>
      <c r="E193" s="70" t="s">
        <v>28</v>
      </c>
      <c r="F193" s="67" t="s">
        <v>29</v>
      </c>
      <c r="G193" s="67" t="s">
        <v>30</v>
      </c>
    </row>
    <row r="194" spans="1:7" ht="14.25">
      <c r="A194" s="66" t="s">
        <v>32</v>
      </c>
      <c r="B194" s="71" t="s">
        <v>39</v>
      </c>
      <c r="C194" s="66" t="s">
        <v>280</v>
      </c>
      <c r="D194" s="67" t="s">
        <v>12</v>
      </c>
      <c r="E194" s="73">
        <v>1</v>
      </c>
      <c r="F194" s="74"/>
      <c r="G194" s="74"/>
    </row>
    <row r="195" spans="1:7" ht="27.75" customHeight="1">
      <c r="A195" s="66" t="s">
        <v>32</v>
      </c>
      <c r="B195" s="71" t="s">
        <v>40</v>
      </c>
      <c r="C195" s="66" t="s">
        <v>279</v>
      </c>
      <c r="D195" s="67" t="s">
        <v>12</v>
      </c>
      <c r="E195" s="73">
        <v>1</v>
      </c>
      <c r="F195" s="74"/>
      <c r="G195" s="74"/>
    </row>
    <row r="196" spans="1:7" ht="14.25">
      <c r="A196" s="66" t="s">
        <v>32</v>
      </c>
      <c r="B196" s="82" t="s">
        <v>43</v>
      </c>
      <c r="C196" s="66" t="s">
        <v>250</v>
      </c>
      <c r="D196" s="67" t="s">
        <v>12</v>
      </c>
      <c r="E196" s="73">
        <v>1</v>
      </c>
      <c r="F196" s="74"/>
      <c r="G196" s="74"/>
    </row>
    <row r="197" spans="1:7" ht="14.25">
      <c r="A197" s="16"/>
      <c r="B197" s="71"/>
      <c r="C197" s="66"/>
      <c r="D197" s="67"/>
      <c r="E197" s="73"/>
      <c r="F197" s="74"/>
      <c r="G197" s="74"/>
    </row>
    <row r="198" spans="1:7" ht="14.25">
      <c r="A198" s="66"/>
      <c r="B198" s="66"/>
      <c r="C198" s="66" t="s">
        <v>24</v>
      </c>
      <c r="D198" s="67" t="s">
        <v>25</v>
      </c>
      <c r="E198" s="70" t="s">
        <v>47</v>
      </c>
      <c r="F198" s="67"/>
      <c r="G198" s="67"/>
    </row>
    <row r="199" spans="1:7" ht="24" customHeight="1">
      <c r="A199" s="66" t="s">
        <v>35</v>
      </c>
      <c r="B199" s="68" t="s">
        <v>299</v>
      </c>
      <c r="C199" s="68" t="s">
        <v>346</v>
      </c>
      <c r="D199" s="69" t="s">
        <v>300</v>
      </c>
      <c r="E199" s="72" t="e">
        <f>AVERAGE(G201:G203)</f>
        <v>#DIV/0!</v>
      </c>
      <c r="F199" s="67"/>
      <c r="G199" s="67"/>
    </row>
    <row r="200" spans="1:7" ht="14.25">
      <c r="A200" s="66"/>
      <c r="B200" s="66" t="s">
        <v>2</v>
      </c>
      <c r="C200" s="66" t="s">
        <v>27</v>
      </c>
      <c r="D200" s="67" t="s">
        <v>25</v>
      </c>
      <c r="E200" s="70" t="s">
        <v>28</v>
      </c>
      <c r="F200" s="67" t="s">
        <v>29</v>
      </c>
      <c r="G200" s="67" t="s">
        <v>30</v>
      </c>
    </row>
    <row r="201" spans="1:7" ht="14.25">
      <c r="A201" s="66" t="s">
        <v>32</v>
      </c>
      <c r="B201" s="71" t="s">
        <v>39</v>
      </c>
      <c r="C201" s="66" t="s">
        <v>243</v>
      </c>
      <c r="D201" s="67" t="s">
        <v>300</v>
      </c>
      <c r="E201" s="73">
        <v>1</v>
      </c>
      <c r="F201" s="74"/>
      <c r="G201" s="74"/>
    </row>
    <row r="202" spans="1:7" ht="14.25">
      <c r="A202" s="66" t="s">
        <v>32</v>
      </c>
      <c r="B202" s="71" t="s">
        <v>40</v>
      </c>
      <c r="C202" s="66" t="s">
        <v>301</v>
      </c>
      <c r="D202" s="67" t="s">
        <v>300</v>
      </c>
      <c r="E202" s="73">
        <v>1</v>
      </c>
      <c r="F202" s="74"/>
      <c r="G202" s="74"/>
    </row>
    <row r="203" spans="1:7" ht="14.25">
      <c r="A203" s="66" t="s">
        <v>32</v>
      </c>
      <c r="B203" s="82" t="s">
        <v>43</v>
      </c>
      <c r="C203" s="66" t="s">
        <v>302</v>
      </c>
      <c r="D203" s="67" t="s">
        <v>300</v>
      </c>
      <c r="E203" s="73">
        <v>1</v>
      </c>
      <c r="F203" s="74"/>
      <c r="G203" s="74"/>
    </row>
    <row r="204" spans="1:7" ht="14.25">
      <c r="A204" s="30"/>
      <c r="B204" s="83"/>
      <c r="C204" s="84"/>
      <c r="D204" s="85"/>
      <c r="E204" s="86"/>
      <c r="F204" s="28"/>
      <c r="G204" s="28"/>
    </row>
    <row r="205" spans="1:7" ht="14.25">
      <c r="A205" s="66"/>
      <c r="B205" s="66"/>
      <c r="C205" s="66" t="s">
        <v>24</v>
      </c>
      <c r="D205" s="67" t="s">
        <v>25</v>
      </c>
      <c r="E205" s="70" t="s">
        <v>47</v>
      </c>
      <c r="F205" s="67"/>
      <c r="G205" s="67"/>
    </row>
    <row r="206" spans="1:7" ht="25.5">
      <c r="A206" s="66" t="s">
        <v>35</v>
      </c>
      <c r="B206" s="68" t="s">
        <v>303</v>
      </c>
      <c r="C206" s="68" t="s">
        <v>305</v>
      </c>
      <c r="D206" s="69" t="s">
        <v>12</v>
      </c>
      <c r="E206" s="72" t="e">
        <f>AVERAGE(G208:G210)</f>
        <v>#DIV/0!</v>
      </c>
      <c r="F206" s="67"/>
      <c r="G206" s="67"/>
    </row>
    <row r="207" spans="1:7" ht="14.25">
      <c r="A207" s="66"/>
      <c r="B207" s="66" t="s">
        <v>2</v>
      </c>
      <c r="C207" s="66" t="s">
        <v>27</v>
      </c>
      <c r="D207" s="67" t="s">
        <v>25</v>
      </c>
      <c r="E207" s="70" t="s">
        <v>28</v>
      </c>
      <c r="F207" s="67" t="s">
        <v>29</v>
      </c>
      <c r="G207" s="67" t="s">
        <v>30</v>
      </c>
    </row>
    <row r="208" spans="1:7" ht="14.25">
      <c r="A208" s="66" t="s">
        <v>32</v>
      </c>
      <c r="B208" s="71" t="s">
        <v>39</v>
      </c>
      <c r="C208" s="66" t="s">
        <v>250</v>
      </c>
      <c r="D208" s="67" t="s">
        <v>12</v>
      </c>
      <c r="E208" s="73">
        <v>1</v>
      </c>
      <c r="F208" s="74"/>
      <c r="G208" s="74"/>
    </row>
    <row r="209" spans="1:7" ht="14.25">
      <c r="A209" s="66" t="s">
        <v>32</v>
      </c>
      <c r="B209" s="71" t="s">
        <v>40</v>
      </c>
      <c r="C209" s="66" t="s">
        <v>274</v>
      </c>
      <c r="D209" s="67" t="s">
        <v>12</v>
      </c>
      <c r="E209" s="73">
        <v>1</v>
      </c>
      <c r="F209" s="74"/>
      <c r="G209" s="74"/>
    </row>
    <row r="210" spans="1:7" ht="14.25">
      <c r="A210" s="66" t="s">
        <v>32</v>
      </c>
      <c r="B210" s="82" t="s">
        <v>43</v>
      </c>
      <c r="C210" s="66" t="s">
        <v>306</v>
      </c>
      <c r="D210" s="67" t="s">
        <v>12</v>
      </c>
      <c r="E210" s="73">
        <v>1</v>
      </c>
      <c r="F210" s="74"/>
      <c r="G210" s="74"/>
    </row>
    <row r="211" spans="1:7" ht="14.25">
      <c r="A211" s="84"/>
      <c r="B211" s="87"/>
      <c r="C211" s="84"/>
      <c r="D211" s="85"/>
      <c r="E211" s="86"/>
      <c r="F211" s="28"/>
      <c r="G211" s="28"/>
    </row>
    <row r="212" spans="1:7" ht="14.25">
      <c r="A212" s="66"/>
      <c r="B212" s="66"/>
      <c r="C212" s="66" t="s">
        <v>24</v>
      </c>
      <c r="D212" s="67" t="s">
        <v>25</v>
      </c>
      <c r="E212" s="70" t="s">
        <v>47</v>
      </c>
      <c r="F212" s="67"/>
      <c r="G212" s="67"/>
    </row>
    <row r="213" spans="1:7" ht="25.5">
      <c r="A213" s="66" t="s">
        <v>35</v>
      </c>
      <c r="B213" s="68" t="s">
        <v>317</v>
      </c>
      <c r="C213" s="68" t="s">
        <v>314</v>
      </c>
      <c r="D213" s="69" t="s">
        <v>12</v>
      </c>
      <c r="E213" s="72" t="e">
        <f>AVERAGE(G215:G217)</f>
        <v>#DIV/0!</v>
      </c>
      <c r="F213" s="67"/>
      <c r="G213" s="67"/>
    </row>
    <row r="214" spans="1:7" ht="14.25">
      <c r="A214" s="66"/>
      <c r="B214" s="66" t="s">
        <v>2</v>
      </c>
      <c r="C214" s="66" t="s">
        <v>27</v>
      </c>
      <c r="D214" s="67" t="s">
        <v>25</v>
      </c>
      <c r="E214" s="70" t="s">
        <v>28</v>
      </c>
      <c r="F214" s="67" t="s">
        <v>29</v>
      </c>
      <c r="G214" s="67" t="s">
        <v>30</v>
      </c>
    </row>
    <row r="215" spans="1:7" ht="14.25">
      <c r="A215" s="66" t="s">
        <v>32</v>
      </c>
      <c r="B215" s="71" t="s">
        <v>39</v>
      </c>
      <c r="C215" s="66" t="s">
        <v>315</v>
      </c>
      <c r="D215" s="67" t="s">
        <v>12</v>
      </c>
      <c r="E215" s="73">
        <v>1</v>
      </c>
      <c r="F215" s="74"/>
      <c r="G215" s="74"/>
    </row>
    <row r="216" spans="1:7" ht="14.25">
      <c r="A216" s="66" t="s">
        <v>32</v>
      </c>
      <c r="B216" s="71" t="s">
        <v>40</v>
      </c>
      <c r="C216" s="66" t="s">
        <v>273</v>
      </c>
      <c r="D216" s="67" t="s">
        <v>12</v>
      </c>
      <c r="E216" s="73">
        <v>1</v>
      </c>
      <c r="F216" s="74"/>
      <c r="G216" s="74"/>
    </row>
    <row r="217" spans="1:7" ht="14.25">
      <c r="A217" s="66" t="s">
        <v>32</v>
      </c>
      <c r="B217" s="82" t="s">
        <v>43</v>
      </c>
      <c r="C217" s="66" t="s">
        <v>316</v>
      </c>
      <c r="D217" s="67" t="s">
        <v>12</v>
      </c>
      <c r="E217" s="73">
        <v>1</v>
      </c>
      <c r="F217" s="74"/>
      <c r="G217" s="74"/>
    </row>
    <row r="218" spans="1:7" ht="14.25">
      <c r="A218" s="84"/>
      <c r="B218" s="87"/>
      <c r="C218" s="84"/>
      <c r="D218" s="85"/>
      <c r="E218" s="86"/>
      <c r="F218" s="28"/>
      <c r="G218" s="28"/>
    </row>
    <row r="219" spans="1:7" ht="14.25">
      <c r="A219" s="66"/>
      <c r="B219" s="66"/>
      <c r="C219" s="66" t="s">
        <v>24</v>
      </c>
      <c r="D219" s="67" t="s">
        <v>25</v>
      </c>
      <c r="E219" s="70" t="s">
        <v>47</v>
      </c>
      <c r="F219" s="67"/>
      <c r="G219" s="67"/>
    </row>
    <row r="220" spans="1:7" ht="25.5">
      <c r="A220" s="66" t="s">
        <v>35</v>
      </c>
      <c r="B220" s="68" t="s">
        <v>322</v>
      </c>
      <c r="C220" s="68" t="s">
        <v>318</v>
      </c>
      <c r="D220" s="69" t="s">
        <v>12</v>
      </c>
      <c r="E220" s="72" t="e">
        <f>AVERAGE(G222:G224)</f>
        <v>#DIV/0!</v>
      </c>
      <c r="F220" s="67"/>
      <c r="G220" s="67"/>
    </row>
    <row r="221" spans="1:7" ht="14.25">
      <c r="A221" s="66"/>
      <c r="B221" s="66" t="s">
        <v>2</v>
      </c>
      <c r="C221" s="66" t="s">
        <v>27</v>
      </c>
      <c r="D221" s="67" t="s">
        <v>25</v>
      </c>
      <c r="E221" s="70" t="s">
        <v>28</v>
      </c>
      <c r="F221" s="67" t="s">
        <v>29</v>
      </c>
      <c r="G221" s="67" t="s">
        <v>30</v>
      </c>
    </row>
    <row r="222" spans="1:7" ht="14.25">
      <c r="A222" s="66" t="s">
        <v>32</v>
      </c>
      <c r="B222" s="71" t="s">
        <v>39</v>
      </c>
      <c r="C222" s="66" t="s">
        <v>319</v>
      </c>
      <c r="D222" s="67" t="s">
        <v>12</v>
      </c>
      <c r="E222" s="73">
        <v>1</v>
      </c>
      <c r="F222" s="74"/>
      <c r="G222" s="74"/>
    </row>
    <row r="223" spans="1:7" ht="14.25">
      <c r="A223" s="66" t="s">
        <v>32</v>
      </c>
      <c r="B223" s="71" t="s">
        <v>40</v>
      </c>
      <c r="C223" s="66" t="s">
        <v>320</v>
      </c>
      <c r="D223" s="67" t="s">
        <v>12</v>
      </c>
      <c r="E223" s="73">
        <v>1</v>
      </c>
      <c r="F223" s="74"/>
      <c r="G223" s="74"/>
    </row>
    <row r="224" spans="1:7" ht="14.25">
      <c r="A224" s="66" t="s">
        <v>32</v>
      </c>
      <c r="B224" s="82" t="s">
        <v>43</v>
      </c>
      <c r="C224" s="66" t="s">
        <v>280</v>
      </c>
      <c r="D224" s="67" t="s">
        <v>12</v>
      </c>
      <c r="E224" s="73">
        <v>1</v>
      </c>
      <c r="F224" s="74"/>
      <c r="G224" s="74"/>
    </row>
    <row r="225" spans="1:7" ht="14.25">
      <c r="A225" s="84"/>
      <c r="B225" s="87"/>
      <c r="C225" s="84"/>
      <c r="D225" s="85"/>
      <c r="E225" s="86"/>
      <c r="F225" s="28"/>
      <c r="G225" s="28"/>
    </row>
    <row r="226" spans="1:7" ht="14.25">
      <c r="A226" s="66"/>
      <c r="B226" s="66"/>
      <c r="C226" s="66" t="s">
        <v>24</v>
      </c>
      <c r="D226" s="67" t="s">
        <v>25</v>
      </c>
      <c r="E226" s="70" t="s">
        <v>47</v>
      </c>
      <c r="F226" s="67"/>
      <c r="G226" s="67"/>
    </row>
    <row r="227" spans="1:7" ht="25.5">
      <c r="A227" s="66" t="s">
        <v>35</v>
      </c>
      <c r="B227" s="68" t="s">
        <v>323</v>
      </c>
      <c r="C227" s="68" t="s">
        <v>321</v>
      </c>
      <c r="D227" s="69" t="s">
        <v>12</v>
      </c>
      <c r="E227" s="72" t="e">
        <f>AVERAGE(G229:G231)</f>
        <v>#DIV/0!</v>
      </c>
      <c r="F227" s="67"/>
      <c r="G227" s="67"/>
    </row>
    <row r="228" spans="1:7" ht="14.25">
      <c r="A228" s="66"/>
      <c r="B228" s="66" t="s">
        <v>2</v>
      </c>
      <c r="C228" s="66" t="s">
        <v>27</v>
      </c>
      <c r="D228" s="67" t="s">
        <v>25</v>
      </c>
      <c r="E228" s="70" t="s">
        <v>28</v>
      </c>
      <c r="F228" s="67" t="s">
        <v>29</v>
      </c>
      <c r="G228" s="67" t="s">
        <v>30</v>
      </c>
    </row>
    <row r="229" spans="1:7" ht="14.25">
      <c r="A229" s="66" t="s">
        <v>32</v>
      </c>
      <c r="B229" s="71" t="s">
        <v>39</v>
      </c>
      <c r="C229" s="66" t="s">
        <v>250</v>
      </c>
      <c r="D229" s="67" t="s">
        <v>12</v>
      </c>
      <c r="E229" s="73">
        <v>1</v>
      </c>
      <c r="F229" s="74"/>
      <c r="G229" s="74"/>
    </row>
    <row r="230" spans="1:7" ht="14.25">
      <c r="A230" s="66" t="s">
        <v>32</v>
      </c>
      <c r="B230" s="71" t="s">
        <v>40</v>
      </c>
      <c r="C230" s="66" t="s">
        <v>273</v>
      </c>
      <c r="D230" s="67" t="s">
        <v>12</v>
      </c>
      <c r="E230" s="73">
        <v>1</v>
      </c>
      <c r="F230" s="74"/>
      <c r="G230" s="74"/>
    </row>
    <row r="231" spans="1:7" ht="14.25">
      <c r="A231" s="66" t="s">
        <v>32</v>
      </c>
      <c r="B231" s="82" t="s">
        <v>43</v>
      </c>
      <c r="C231" s="66" t="s">
        <v>274</v>
      </c>
      <c r="D231" s="67" t="s">
        <v>12</v>
      </c>
      <c r="E231" s="73">
        <v>1</v>
      </c>
      <c r="F231" s="74"/>
      <c r="G231" s="74"/>
    </row>
    <row r="232" spans="1:7" ht="14.25">
      <c r="A232" s="84"/>
      <c r="B232" s="87"/>
      <c r="C232" s="84"/>
      <c r="D232" s="85"/>
      <c r="E232" s="86"/>
      <c r="F232" s="28"/>
      <c r="G232" s="28"/>
    </row>
    <row r="233" spans="1:7" ht="14.25">
      <c r="A233" s="66"/>
      <c r="B233" s="66"/>
      <c r="C233" s="66" t="s">
        <v>24</v>
      </c>
      <c r="D233" s="67" t="s">
        <v>25</v>
      </c>
      <c r="E233" s="70" t="s">
        <v>47</v>
      </c>
      <c r="F233" s="67"/>
      <c r="G233" s="67"/>
    </row>
    <row r="234" spans="1:7" ht="25.5">
      <c r="A234" s="66" t="s">
        <v>35</v>
      </c>
      <c r="B234" s="68" t="s">
        <v>325</v>
      </c>
      <c r="C234" s="68" t="s">
        <v>324</v>
      </c>
      <c r="D234" s="69" t="s">
        <v>12</v>
      </c>
      <c r="E234" s="72" t="e">
        <f>AVERAGE(G236:G238)</f>
        <v>#DIV/0!</v>
      </c>
      <c r="F234" s="67"/>
      <c r="G234" s="67"/>
    </row>
    <row r="235" spans="1:7" ht="14.25">
      <c r="A235" s="66"/>
      <c r="B235" s="66" t="s">
        <v>2</v>
      </c>
      <c r="C235" s="66" t="s">
        <v>27</v>
      </c>
      <c r="D235" s="67" t="s">
        <v>25</v>
      </c>
      <c r="E235" s="70" t="s">
        <v>28</v>
      </c>
      <c r="F235" s="67" t="s">
        <v>29</v>
      </c>
      <c r="G235" s="67" t="s">
        <v>30</v>
      </c>
    </row>
    <row r="236" spans="1:7" ht="14.25">
      <c r="A236" s="66" t="s">
        <v>32</v>
      </c>
      <c r="B236" s="71" t="s">
        <v>39</v>
      </c>
      <c r="C236" s="66" t="s">
        <v>250</v>
      </c>
      <c r="D236" s="67" t="s">
        <v>12</v>
      </c>
      <c r="E236" s="73">
        <v>1</v>
      </c>
      <c r="F236" s="74"/>
      <c r="G236" s="74"/>
    </row>
    <row r="237" spans="1:7" ht="14.25">
      <c r="A237" s="66" t="s">
        <v>32</v>
      </c>
      <c r="B237" s="71" t="s">
        <v>40</v>
      </c>
      <c r="C237" s="66" t="s">
        <v>273</v>
      </c>
      <c r="D237" s="67" t="s">
        <v>12</v>
      </c>
      <c r="E237" s="73">
        <v>1</v>
      </c>
      <c r="F237" s="74"/>
      <c r="G237" s="74"/>
    </row>
    <row r="238" spans="1:7" ht="14.25">
      <c r="A238" s="66" t="s">
        <v>32</v>
      </c>
      <c r="B238" s="82" t="s">
        <v>43</v>
      </c>
      <c r="C238" s="66" t="s">
        <v>274</v>
      </c>
      <c r="D238" s="67" t="s">
        <v>12</v>
      </c>
      <c r="E238" s="73">
        <v>1</v>
      </c>
      <c r="F238" s="74"/>
      <c r="G238" s="74"/>
    </row>
    <row r="239" spans="1:7" ht="14.25">
      <c r="A239" s="84"/>
      <c r="B239" s="87"/>
      <c r="C239" s="84"/>
      <c r="D239" s="85"/>
      <c r="E239" s="86"/>
      <c r="F239" s="28"/>
      <c r="G239" s="28"/>
    </row>
    <row r="240" spans="1:7" ht="14.25">
      <c r="A240" s="66"/>
      <c r="B240" s="66"/>
      <c r="C240" s="66" t="s">
        <v>24</v>
      </c>
      <c r="D240" s="67" t="s">
        <v>25</v>
      </c>
      <c r="E240" s="70" t="s">
        <v>47</v>
      </c>
      <c r="F240" s="67"/>
      <c r="G240" s="67"/>
    </row>
    <row r="241" spans="1:7" ht="25.5">
      <c r="A241" s="66" t="s">
        <v>35</v>
      </c>
      <c r="B241" s="68" t="s">
        <v>344</v>
      </c>
      <c r="C241" s="68" t="s">
        <v>326</v>
      </c>
      <c r="D241" s="69" t="s">
        <v>18</v>
      </c>
      <c r="E241" s="72" t="e">
        <f>AVERAGE(G243:G244)</f>
        <v>#DIV/0!</v>
      </c>
      <c r="F241" s="67"/>
      <c r="G241" s="67"/>
    </row>
    <row r="242" spans="1:7" ht="14.25">
      <c r="A242" s="66"/>
      <c r="B242" s="66" t="s">
        <v>2</v>
      </c>
      <c r="C242" s="66" t="s">
        <v>27</v>
      </c>
      <c r="D242" s="67" t="s">
        <v>25</v>
      </c>
      <c r="E242" s="70" t="s">
        <v>28</v>
      </c>
      <c r="F242" s="67" t="s">
        <v>29</v>
      </c>
      <c r="G242" s="67" t="s">
        <v>30</v>
      </c>
    </row>
    <row r="243" spans="1:7" ht="14.25">
      <c r="A243" s="66" t="s">
        <v>32</v>
      </c>
      <c r="B243" s="71" t="s">
        <v>39</v>
      </c>
      <c r="C243" s="66" t="s">
        <v>257</v>
      </c>
      <c r="D243" s="67" t="s">
        <v>18</v>
      </c>
      <c r="E243" s="73">
        <v>1</v>
      </c>
      <c r="F243" s="74"/>
      <c r="G243" s="74"/>
    </row>
    <row r="244" spans="1:7" ht="14.25">
      <c r="A244" s="66" t="s">
        <v>32</v>
      </c>
      <c r="B244" s="71" t="s">
        <v>40</v>
      </c>
      <c r="C244" s="66" t="s">
        <v>327</v>
      </c>
      <c r="D244" s="67" t="s">
        <v>18</v>
      </c>
      <c r="E244" s="73">
        <v>1</v>
      </c>
      <c r="F244" s="74"/>
      <c r="G244" s="74"/>
    </row>
    <row r="245" spans="1:7" ht="14.25">
      <c r="A245" s="84"/>
      <c r="B245" s="83"/>
      <c r="C245" s="84"/>
      <c r="D245" s="85"/>
      <c r="E245" s="86"/>
      <c r="F245" s="28"/>
      <c r="G245" s="28"/>
    </row>
    <row r="246" spans="1:7" ht="14.25">
      <c r="A246" s="66"/>
      <c r="B246" s="66"/>
      <c r="C246" s="66" t="s">
        <v>24</v>
      </c>
      <c r="D246" s="67" t="s">
        <v>25</v>
      </c>
      <c r="E246" s="70" t="s">
        <v>47</v>
      </c>
      <c r="F246" s="67"/>
      <c r="G246" s="67"/>
    </row>
    <row r="247" spans="1:7" ht="51">
      <c r="A247" s="66" t="s">
        <v>35</v>
      </c>
      <c r="B247" s="68" t="s">
        <v>621</v>
      </c>
      <c r="C247" s="68" t="s">
        <v>248</v>
      </c>
      <c r="D247" s="69" t="s">
        <v>25</v>
      </c>
      <c r="E247" s="72" t="e">
        <f>AVERAGE(G249:G250)</f>
        <v>#DIV/0!</v>
      </c>
      <c r="F247" s="67"/>
      <c r="G247" s="67"/>
    </row>
    <row r="248" spans="1:7" ht="14.25">
      <c r="A248" s="66"/>
      <c r="B248" s="66" t="s">
        <v>2</v>
      </c>
      <c r="C248" s="66" t="s">
        <v>27</v>
      </c>
      <c r="D248" s="67" t="s">
        <v>25</v>
      </c>
      <c r="E248" s="70" t="s">
        <v>28</v>
      </c>
      <c r="F248" s="67" t="s">
        <v>29</v>
      </c>
      <c r="G248" s="67" t="s">
        <v>30</v>
      </c>
    </row>
    <row r="249" spans="1:7" ht="14.25">
      <c r="A249" s="66" t="s">
        <v>32</v>
      </c>
      <c r="B249" s="71" t="s">
        <v>39</v>
      </c>
      <c r="C249" s="66" t="s">
        <v>503</v>
      </c>
      <c r="D249" s="67" t="s">
        <v>12</v>
      </c>
      <c r="E249" s="73">
        <v>1</v>
      </c>
      <c r="F249" s="74"/>
      <c r="G249" s="74"/>
    </row>
    <row r="250" spans="1:7" ht="14.25">
      <c r="A250" s="66" t="s">
        <v>32</v>
      </c>
      <c r="B250" s="71" t="s">
        <v>40</v>
      </c>
      <c r="C250" s="106" t="s">
        <v>622</v>
      </c>
      <c r="D250" s="67" t="s">
        <v>12</v>
      </c>
      <c r="E250" s="73">
        <v>1</v>
      </c>
      <c r="F250" s="74"/>
      <c r="G250" s="74"/>
    </row>
    <row r="251" spans="1:7" ht="14.25">
      <c r="A251" s="84"/>
      <c r="B251" s="83"/>
      <c r="C251" s="107"/>
      <c r="D251" s="85"/>
      <c r="E251" s="86"/>
      <c r="F251" s="28"/>
      <c r="G251" s="28"/>
    </row>
    <row r="252" spans="1:7" ht="14.25">
      <c r="A252" s="66"/>
      <c r="B252" s="66"/>
      <c r="C252" s="66" t="s">
        <v>24</v>
      </c>
      <c r="D252" s="67" t="s">
        <v>25</v>
      </c>
      <c r="E252" s="70" t="s">
        <v>47</v>
      </c>
      <c r="F252" s="67"/>
      <c r="G252" s="67"/>
    </row>
    <row r="253" spans="1:7" ht="25.5">
      <c r="A253" s="66" t="s">
        <v>35</v>
      </c>
      <c r="B253" s="68" t="s">
        <v>623</v>
      </c>
      <c r="C253" s="68" t="s">
        <v>625</v>
      </c>
      <c r="D253" s="69" t="s">
        <v>12</v>
      </c>
      <c r="E253" s="72" t="e">
        <f>AVERAGE(G255:G257)</f>
        <v>#DIV/0!</v>
      </c>
      <c r="F253" s="67"/>
      <c r="G253" s="67"/>
    </row>
    <row r="254" spans="1:7" ht="14.25">
      <c r="A254" s="66"/>
      <c r="B254" s="66" t="s">
        <v>2</v>
      </c>
      <c r="C254" s="66" t="s">
        <v>27</v>
      </c>
      <c r="D254" s="67" t="s">
        <v>25</v>
      </c>
      <c r="E254" s="70" t="s">
        <v>28</v>
      </c>
      <c r="F254" s="67" t="s">
        <v>29</v>
      </c>
      <c r="G254" s="67" t="s">
        <v>30</v>
      </c>
    </row>
    <row r="255" spans="1:7" ht="14.25">
      <c r="A255" s="66" t="s">
        <v>32</v>
      </c>
      <c r="B255" s="71" t="s">
        <v>39</v>
      </c>
      <c r="C255" s="66" t="s">
        <v>250</v>
      </c>
      <c r="D255" s="67" t="s">
        <v>12</v>
      </c>
      <c r="E255" s="73">
        <v>1</v>
      </c>
      <c r="F255" s="74"/>
      <c r="G255" s="74"/>
    </row>
    <row r="256" spans="1:7" ht="25.5">
      <c r="A256" s="66" t="s">
        <v>32</v>
      </c>
      <c r="B256" s="71" t="s">
        <v>40</v>
      </c>
      <c r="C256" s="106" t="s">
        <v>626</v>
      </c>
      <c r="D256" s="67" t="s">
        <v>12</v>
      </c>
      <c r="E256" s="73">
        <v>1</v>
      </c>
      <c r="F256" s="74"/>
      <c r="G256" s="74"/>
    </row>
    <row r="257" spans="1:7" ht="14.25">
      <c r="A257" s="66" t="s">
        <v>32</v>
      </c>
      <c r="B257" s="82" t="s">
        <v>43</v>
      </c>
      <c r="C257" s="66" t="s">
        <v>627</v>
      </c>
      <c r="D257" s="67" t="s">
        <v>12</v>
      </c>
      <c r="E257" s="73">
        <v>1</v>
      </c>
      <c r="F257" s="74"/>
      <c r="G257" s="74"/>
    </row>
    <row r="258" spans="1:7" ht="14.25">
      <c r="A258" s="84"/>
      <c r="B258" s="83"/>
      <c r="C258" s="107"/>
      <c r="D258" s="85"/>
      <c r="E258" s="86"/>
      <c r="F258" s="28"/>
      <c r="G258" s="28"/>
    </row>
    <row r="259" spans="1:7" ht="14.25">
      <c r="A259" s="66"/>
      <c r="B259" s="66"/>
      <c r="C259" s="66" t="s">
        <v>24</v>
      </c>
      <c r="D259" s="67" t="s">
        <v>25</v>
      </c>
      <c r="E259" s="70" t="s">
        <v>47</v>
      </c>
      <c r="F259" s="67"/>
      <c r="G259" s="67"/>
    </row>
    <row r="260" spans="1:7" ht="25.5">
      <c r="A260" s="66" t="s">
        <v>35</v>
      </c>
      <c r="B260" s="68" t="s">
        <v>624</v>
      </c>
      <c r="C260" s="68" t="s">
        <v>628</v>
      </c>
      <c r="D260" s="69" t="s">
        <v>12</v>
      </c>
      <c r="E260" s="72" t="e">
        <f>AVERAGE(G262:G263)</f>
        <v>#DIV/0!</v>
      </c>
      <c r="F260" s="67"/>
      <c r="G260" s="67"/>
    </row>
    <row r="261" spans="1:7" ht="14.25">
      <c r="A261" s="66"/>
      <c r="B261" s="66" t="s">
        <v>2</v>
      </c>
      <c r="C261" s="66" t="s">
        <v>27</v>
      </c>
      <c r="D261" s="67" t="s">
        <v>25</v>
      </c>
      <c r="E261" s="70" t="s">
        <v>28</v>
      </c>
      <c r="F261" s="67" t="s">
        <v>29</v>
      </c>
      <c r="G261" s="67" t="s">
        <v>30</v>
      </c>
    </row>
    <row r="262" spans="1:7" ht="14.25">
      <c r="A262" s="66" t="s">
        <v>32</v>
      </c>
      <c r="B262" s="71" t="s">
        <v>39</v>
      </c>
      <c r="C262" s="66" t="s">
        <v>384</v>
      </c>
      <c r="D262" s="67" t="s">
        <v>12</v>
      </c>
      <c r="E262" s="73">
        <v>1</v>
      </c>
      <c r="F262" s="74"/>
      <c r="G262" s="74"/>
    </row>
    <row r="263" spans="1:7" ht="14.25">
      <c r="A263" s="66" t="s">
        <v>32</v>
      </c>
      <c r="B263" s="71" t="s">
        <v>40</v>
      </c>
      <c r="C263" s="66" t="s">
        <v>629</v>
      </c>
      <c r="D263" s="67" t="s">
        <v>12</v>
      </c>
      <c r="E263" s="73">
        <v>1</v>
      </c>
      <c r="F263" s="74"/>
      <c r="G263" s="74"/>
    </row>
    <row r="264" spans="1:7" ht="14.25">
      <c r="A264" s="84"/>
      <c r="B264" s="83"/>
      <c r="C264" s="84"/>
      <c r="D264" s="85"/>
      <c r="E264" s="86"/>
      <c r="F264" s="28"/>
      <c r="G264" s="28"/>
    </row>
    <row r="265" spans="1:7" ht="14.25">
      <c r="A265" s="66"/>
      <c r="B265" s="66"/>
      <c r="C265" s="66" t="s">
        <v>24</v>
      </c>
      <c r="D265" s="67" t="s">
        <v>25</v>
      </c>
      <c r="E265" s="70" t="s">
        <v>47</v>
      </c>
      <c r="F265" s="67"/>
      <c r="G265" s="67"/>
    </row>
    <row r="266" spans="1:7" ht="25.5">
      <c r="A266" s="66" t="s">
        <v>35</v>
      </c>
      <c r="B266" s="68" t="s">
        <v>343</v>
      </c>
      <c r="C266" s="68" t="s">
        <v>345</v>
      </c>
      <c r="D266" s="69" t="s">
        <v>12</v>
      </c>
      <c r="E266" s="72">
        <f>SUM(G268:G289)</f>
        <v>0</v>
      </c>
      <c r="F266" s="67"/>
      <c r="G266" s="67"/>
    </row>
    <row r="267" spans="1:7" ht="14.25">
      <c r="A267" s="66"/>
      <c r="B267" s="66" t="s">
        <v>2</v>
      </c>
      <c r="C267" s="66" t="s">
        <v>27</v>
      </c>
      <c r="D267" s="67" t="s">
        <v>25</v>
      </c>
      <c r="E267" s="70" t="s">
        <v>28</v>
      </c>
      <c r="F267" s="67" t="s">
        <v>29</v>
      </c>
      <c r="G267" s="67" t="s">
        <v>30</v>
      </c>
    </row>
    <row r="268" spans="1:7" ht="14.25">
      <c r="A268" s="66" t="s">
        <v>32</v>
      </c>
      <c r="B268" s="71" t="str">
        <f>B157</f>
        <v>CP 014A</v>
      </c>
      <c r="C268" s="66" t="str">
        <f>C157</f>
        <v>Kit Fecho Dentado com Fita Aço Inox 430 - 3/4"</v>
      </c>
      <c r="D268" s="67" t="str">
        <f>D157</f>
        <v>UN</v>
      </c>
      <c r="E268" s="70">
        <v>2</v>
      </c>
      <c r="F268" s="74"/>
      <c r="G268" s="74"/>
    </row>
    <row r="269" spans="1:7" ht="14.25">
      <c r="A269" s="66" t="s">
        <v>32</v>
      </c>
      <c r="B269" s="71" t="str">
        <f>B164</f>
        <v>CP 014B</v>
      </c>
      <c r="C269" s="66" t="str">
        <f>C164</f>
        <v>Elo Fusível 10K - 15 kV</v>
      </c>
      <c r="D269" s="67" t="str">
        <f>D164</f>
        <v>UN</v>
      </c>
      <c r="E269" s="70">
        <v>3</v>
      </c>
      <c r="F269" s="74"/>
      <c r="G269" s="74"/>
    </row>
    <row r="270" spans="1:7" ht="14.25">
      <c r="A270" s="66" t="s">
        <v>32</v>
      </c>
      <c r="B270" s="71" t="str">
        <f>B171</f>
        <v>CP 014C</v>
      </c>
      <c r="C270" s="66" t="str">
        <f>C171</f>
        <v>Cabo Cobre Rígido 95mm² Isolado HEPR 0,6/1kV 90° NBR 7286</v>
      </c>
      <c r="D270" s="67" t="str">
        <f>D171</f>
        <v>M</v>
      </c>
      <c r="E270" s="70">
        <f>E271*4</f>
        <v>100</v>
      </c>
      <c r="F270" s="74"/>
      <c r="G270" s="74"/>
    </row>
    <row r="271" spans="1:7" ht="14.25">
      <c r="A271" s="66" t="s">
        <v>32</v>
      </c>
      <c r="B271" s="71" t="str">
        <f>B178</f>
        <v>CP 014D</v>
      </c>
      <c r="C271" s="66" t="str">
        <f>C178</f>
        <v>Cabo Cobre Rígido Verde 50mm² Isolado HEPR 0,6/1kV 90° NBR 7286</v>
      </c>
      <c r="D271" s="67" t="str">
        <f>D178</f>
        <v>M</v>
      </c>
      <c r="E271" s="70">
        <v>25</v>
      </c>
      <c r="F271" s="74"/>
      <c r="G271" s="74"/>
    </row>
    <row r="272" spans="1:7" ht="25.5" customHeight="1">
      <c r="A272" s="66" t="s">
        <v>32</v>
      </c>
      <c r="B272" s="71" t="str">
        <f>B185</f>
        <v>CP 014E</v>
      </c>
      <c r="C272" s="66" t="str">
        <f>C185</f>
        <v>DISJUNTOR TERMOMAGNÉTICO CAIXA MOLDADA 3 PÓLOS 200A SCHNEIDER OU EQUIVALENTE TÉCNICO</v>
      </c>
      <c r="D272" s="67" t="str">
        <f>D185</f>
        <v>UN</v>
      </c>
      <c r="E272" s="70">
        <v>2</v>
      </c>
      <c r="F272" s="74"/>
      <c r="G272" s="74"/>
    </row>
    <row r="273" spans="1:7" ht="24.75" customHeight="1">
      <c r="A273" s="66" t="s">
        <v>32</v>
      </c>
      <c r="B273" s="71" t="str">
        <f>B192</f>
        <v>CP 014F</v>
      </c>
      <c r="C273" s="66" t="str">
        <f>C192</f>
        <v>DISPOSITIVO PROTEÇÃO CONTRA SURTO (DPS) CLASSE II MONOPOLAR 230 VCA 275 VCA 45 KA IP-20 - SCHNEIDER</v>
      </c>
      <c r="D273" s="67" t="str">
        <f>D192</f>
        <v>UN</v>
      </c>
      <c r="E273" s="70">
        <v>12</v>
      </c>
      <c r="F273" s="74"/>
      <c r="G273" s="74"/>
    </row>
    <row r="274" spans="1:7" ht="25.5">
      <c r="A274" s="66" t="s">
        <v>32</v>
      </c>
      <c r="B274" s="71" t="str">
        <f>B199</f>
        <v>CP 014G</v>
      </c>
      <c r="C274" s="66" t="str">
        <f>C199</f>
        <v>PERFILADO LISO CHAPA #14 ACABAMENTO PINTADO 38X19MM - barra 3m</v>
      </c>
      <c r="D274" s="67" t="str">
        <f>D199</f>
        <v>barra</v>
      </c>
      <c r="E274" s="70">
        <v>2</v>
      </c>
      <c r="F274" s="74"/>
      <c r="G274" s="74"/>
    </row>
    <row r="275" spans="1:7" ht="27" customHeight="1">
      <c r="A275" s="66" t="s">
        <v>32</v>
      </c>
      <c r="B275" s="71" t="str">
        <f>B206</f>
        <v>CP 014H</v>
      </c>
      <c r="C275" s="66" t="str">
        <f>C206</f>
        <v>TRANSFORMADOR DE CORRENTE 200/5A, TIPO JANELA, 720 VCA, TENSÃO DE ISOLAÇÃO 4 KV</v>
      </c>
      <c r="D275" s="67" t="str">
        <f>D206</f>
        <v>UN</v>
      </c>
      <c r="E275" s="70">
        <v>3</v>
      </c>
      <c r="F275" s="74"/>
      <c r="G275" s="74"/>
    </row>
    <row r="276" spans="1:7" ht="14.25">
      <c r="A276" s="66" t="s">
        <v>32</v>
      </c>
      <c r="B276" s="71" t="str">
        <f>B213</f>
        <v>CP 014I</v>
      </c>
      <c r="C276" s="66" t="str">
        <f>C213</f>
        <v>BRAÇO SUPORTE TIPO C 15KV ZINCADO PARA REDE COMPACTA</v>
      </c>
      <c r="D276" s="67" t="str">
        <f>D213</f>
        <v>UN</v>
      </c>
      <c r="E276" s="70">
        <v>2</v>
      </c>
      <c r="F276" s="74"/>
      <c r="G276" s="74"/>
    </row>
    <row r="277" spans="1:7" ht="27.75" customHeight="1">
      <c r="A277" s="66" t="s">
        <v>32</v>
      </c>
      <c r="B277" s="71" t="str">
        <f>B220</f>
        <v>CP 014J</v>
      </c>
      <c r="C277" s="66" t="str">
        <f>C220</f>
        <v>CURVA DE AÇO GALVANIZADO ELETROLÍTICO PARA ELETRODUTO 135º L 3"</v>
      </c>
      <c r="D277" s="67" t="str">
        <f>D220</f>
        <v>UN</v>
      </c>
      <c r="E277" s="70">
        <v>1</v>
      </c>
      <c r="F277" s="74"/>
      <c r="G277" s="74"/>
    </row>
    <row r="278" spans="1:7" ht="14.25">
      <c r="A278" s="66" t="s">
        <v>32</v>
      </c>
      <c r="B278" s="71" t="str">
        <f>B227</f>
        <v>CP 014K</v>
      </c>
      <c r="C278" s="66" t="str">
        <f>C227</f>
        <v>ISOLADOR POLIMÉRICO 15KV TIPO BASTÃO</v>
      </c>
      <c r="D278" s="67" t="str">
        <f>D227</f>
        <v>UN</v>
      </c>
      <c r="E278" s="70">
        <v>3</v>
      </c>
      <c r="F278" s="74"/>
      <c r="G278" s="74"/>
    </row>
    <row r="279" spans="1:7" ht="14.25">
      <c r="A279" s="66" t="s">
        <v>32</v>
      </c>
      <c r="B279" s="71" t="str">
        <f>B234</f>
        <v>CP 014L</v>
      </c>
      <c r="C279" s="66" t="str">
        <f>C234</f>
        <v>PINO CURTO PARA ISOLADOR POLIMÉRICO 15 KV</v>
      </c>
      <c r="D279" s="67" t="str">
        <f>D234</f>
        <v>UN</v>
      </c>
      <c r="E279" s="70">
        <v>3</v>
      </c>
      <c r="F279" s="74"/>
      <c r="G279" s="74"/>
    </row>
    <row r="280" spans="1:7" ht="27.75" customHeight="1">
      <c r="A280" s="66" t="s">
        <v>32</v>
      </c>
      <c r="B280" s="71" t="str">
        <f>B241</f>
        <v>CP 014M</v>
      </c>
      <c r="C280" s="66" t="str">
        <f>C241</f>
        <v>CABO ALUMÍNIO NBR 11873 COBERTO XLPE 90° 15KV 1X 50 MM² - TENSÃO DE ISOLAÇÃO 15 KV</v>
      </c>
      <c r="D280" s="67" t="str">
        <f>D241</f>
        <v>M</v>
      </c>
      <c r="E280" s="70">
        <v>20</v>
      </c>
      <c r="F280" s="74"/>
      <c r="G280" s="74"/>
    </row>
    <row r="281" spans="1:7" ht="62.25" customHeight="1">
      <c r="A281" s="66" t="s">
        <v>32</v>
      </c>
      <c r="B281" s="71" t="str">
        <f>B247</f>
        <v>CP 014N</v>
      </c>
      <c r="C281" s="66" t="str">
        <f>C247</f>
        <v>CHAVE FUSIVEL PARA REDES DE DISTRIBUICAO, TENSAO DE 15,0 KV, CORRENTE NOMINAL DO PORTA FUSIVEL DE 100 A, CAPACIDADE DE INTERRUPCAO SIMETRICA DE 7,10 KA, CAPACIDADE DE INTERRUPCAO ASSIMETRICA 10,00 KA</v>
      </c>
      <c r="D281" s="67" t="str">
        <f>D247</f>
        <v>Unid</v>
      </c>
      <c r="E281" s="70">
        <v>4</v>
      </c>
      <c r="F281" s="74"/>
      <c r="G281" s="74"/>
    </row>
    <row r="282" spans="1:7" ht="62.25" customHeight="1">
      <c r="A282" s="66" t="s">
        <v>32</v>
      </c>
      <c r="B282" s="71" t="str">
        <f>B253</f>
        <v>CP 014O</v>
      </c>
      <c r="C282" s="66" t="str">
        <f>C253</f>
        <v>BASE UNIPOLAR PARA FUSIVEL NH1, CORRENTE NOMINAL DE 250 A</v>
      </c>
      <c r="D282" s="67" t="str">
        <f>D260</f>
        <v>UN</v>
      </c>
      <c r="E282" s="70">
        <v>3</v>
      </c>
      <c r="F282" s="74"/>
      <c r="G282" s="74"/>
    </row>
    <row r="283" spans="1:7" ht="62.25" customHeight="1">
      <c r="A283" s="66" t="s">
        <v>32</v>
      </c>
      <c r="B283" s="71" t="str">
        <f>B260</f>
        <v>CP 014P</v>
      </c>
      <c r="C283" s="66" t="str">
        <f>C260</f>
        <v>CAIXA TIPO B PARA ABRIGO DE DISJUNTOR, COM BARRAMENTO TRILHO DIN, COM ISOLADORES</v>
      </c>
      <c r="D283" s="67" t="str">
        <f>D260</f>
        <v>UN</v>
      </c>
      <c r="E283" s="70">
        <v>1</v>
      </c>
      <c r="F283" s="74"/>
      <c r="G283" s="74"/>
    </row>
    <row r="284" spans="1:7" ht="38.25" customHeight="1">
      <c r="A284" s="16" t="s">
        <v>630</v>
      </c>
      <c r="B284" s="71">
        <v>103323</v>
      </c>
      <c r="C284" s="66" t="s">
        <v>549</v>
      </c>
      <c r="D284" s="67" t="s">
        <v>90</v>
      </c>
      <c r="E284" s="70">
        <f>2*1.6*(3+0.6)</f>
        <v>11.520000000000001</v>
      </c>
      <c r="F284" s="74"/>
      <c r="G284" s="74"/>
    </row>
    <row r="285" spans="1:7" ht="27.75" customHeight="1">
      <c r="A285" s="16" t="s">
        <v>630</v>
      </c>
      <c r="B285" s="71">
        <v>87529</v>
      </c>
      <c r="C285" s="66" t="s">
        <v>348</v>
      </c>
      <c r="D285" s="67" t="s">
        <v>90</v>
      </c>
      <c r="E285" s="70">
        <f>E284</f>
        <v>11.520000000000001</v>
      </c>
      <c r="F285" s="74"/>
      <c r="G285" s="74"/>
    </row>
    <row r="286" spans="1:7" ht="27.75" customHeight="1">
      <c r="A286" s="16" t="s">
        <v>630</v>
      </c>
      <c r="B286" s="71">
        <v>5928</v>
      </c>
      <c r="C286" s="66" t="s">
        <v>347</v>
      </c>
      <c r="D286" s="67" t="s">
        <v>54</v>
      </c>
      <c r="E286" s="70">
        <v>2</v>
      </c>
      <c r="F286" s="74"/>
      <c r="G286" s="74"/>
    </row>
    <row r="287" spans="1:7" ht="27.75" customHeight="1">
      <c r="A287" s="16" t="s">
        <v>630</v>
      </c>
      <c r="B287" s="71">
        <v>5930</v>
      </c>
      <c r="C287" s="66" t="s">
        <v>347</v>
      </c>
      <c r="D287" s="67" t="s">
        <v>55</v>
      </c>
      <c r="E287" s="70">
        <v>2</v>
      </c>
      <c r="F287" s="74"/>
      <c r="G287" s="74"/>
    </row>
    <row r="288" spans="1:7" ht="14.25">
      <c r="A288" s="16" t="s">
        <v>630</v>
      </c>
      <c r="B288" s="71" t="s">
        <v>150</v>
      </c>
      <c r="C288" s="66" t="s">
        <v>151</v>
      </c>
      <c r="D288" s="67" t="s">
        <v>17</v>
      </c>
      <c r="E288" s="70">
        <v>32</v>
      </c>
      <c r="F288" s="74"/>
      <c r="G288" s="74"/>
    </row>
    <row r="289" spans="1:7" ht="14.25">
      <c r="A289" s="16" t="s">
        <v>630</v>
      </c>
      <c r="B289" s="71" t="s">
        <v>152</v>
      </c>
      <c r="C289" s="66" t="s">
        <v>153</v>
      </c>
      <c r="D289" s="67" t="s">
        <v>17</v>
      </c>
      <c r="E289" s="70">
        <v>32</v>
      </c>
      <c r="F289" s="74"/>
      <c r="G289" s="74"/>
    </row>
    <row r="291" spans="1:7" ht="14.25">
      <c r="A291" s="66"/>
      <c r="B291" s="66"/>
      <c r="C291" s="66" t="s">
        <v>24</v>
      </c>
      <c r="D291" s="67" t="s">
        <v>25</v>
      </c>
      <c r="E291" s="70" t="s">
        <v>47</v>
      </c>
      <c r="F291" s="67"/>
      <c r="G291" s="67"/>
    </row>
    <row r="292" spans="1:7" ht="38.25">
      <c r="A292" s="66" t="s">
        <v>35</v>
      </c>
      <c r="B292" s="68" t="s">
        <v>166</v>
      </c>
      <c r="C292" s="68" t="s">
        <v>268</v>
      </c>
      <c r="D292" s="69" t="s">
        <v>12</v>
      </c>
      <c r="E292" s="72" t="e">
        <f>AVERAGE(G294:G296)</f>
        <v>#DIV/0!</v>
      </c>
      <c r="F292" s="67"/>
      <c r="G292" s="67"/>
    </row>
    <row r="293" spans="1:7" ht="14.25">
      <c r="A293" s="66"/>
      <c r="B293" s="66" t="s">
        <v>2</v>
      </c>
      <c r="C293" s="66" t="s">
        <v>27</v>
      </c>
      <c r="D293" s="67" t="s">
        <v>25</v>
      </c>
      <c r="E293" s="70" t="s">
        <v>28</v>
      </c>
      <c r="F293" s="67" t="s">
        <v>29</v>
      </c>
      <c r="G293" s="67" t="s">
        <v>30</v>
      </c>
    </row>
    <row r="294" spans="1:7" ht="14.25">
      <c r="A294" s="66" t="s">
        <v>32</v>
      </c>
      <c r="B294" s="71" t="s">
        <v>39</v>
      </c>
      <c r="C294" s="66" t="s">
        <v>270</v>
      </c>
      <c r="D294" s="67" t="s">
        <v>12</v>
      </c>
      <c r="E294" s="73">
        <v>1</v>
      </c>
      <c r="F294" s="74"/>
      <c r="G294" s="74"/>
    </row>
    <row r="295" spans="1:7" ht="14.25">
      <c r="A295" s="66" t="s">
        <v>32</v>
      </c>
      <c r="B295" s="71" t="s">
        <v>40</v>
      </c>
      <c r="C295" s="66" t="s">
        <v>271</v>
      </c>
      <c r="D295" s="67" t="s">
        <v>12</v>
      </c>
      <c r="E295" s="73">
        <v>1</v>
      </c>
      <c r="F295" s="74"/>
      <c r="G295" s="74"/>
    </row>
    <row r="296" spans="1:7" ht="14.25">
      <c r="A296" s="66" t="s">
        <v>32</v>
      </c>
      <c r="B296" s="82" t="s">
        <v>43</v>
      </c>
      <c r="C296" s="66" t="s">
        <v>272</v>
      </c>
      <c r="D296" s="67" t="s">
        <v>12</v>
      </c>
      <c r="E296" s="73">
        <v>1</v>
      </c>
      <c r="F296" s="74"/>
      <c r="G296" s="74"/>
    </row>
    <row r="298" spans="1:7" ht="14.25">
      <c r="A298" s="66"/>
      <c r="B298" s="66"/>
      <c r="C298" s="66" t="s">
        <v>24</v>
      </c>
      <c r="D298" s="67" t="s">
        <v>25</v>
      </c>
      <c r="E298" s="70" t="s">
        <v>47</v>
      </c>
      <c r="F298" s="67"/>
      <c r="G298" s="67"/>
    </row>
    <row r="299" spans="1:7" ht="38.25">
      <c r="A299" s="66" t="s">
        <v>35</v>
      </c>
      <c r="B299" s="68" t="s">
        <v>167</v>
      </c>
      <c r="C299" s="68" t="s">
        <v>269</v>
      </c>
      <c r="D299" s="69" t="s">
        <v>12</v>
      </c>
      <c r="E299" s="72">
        <f>SUM(G301:G304)</f>
        <v>0</v>
      </c>
      <c r="F299" s="67"/>
      <c r="G299" s="67"/>
    </row>
    <row r="300" spans="1:7" ht="14.25">
      <c r="A300" s="66"/>
      <c r="B300" s="66" t="s">
        <v>2</v>
      </c>
      <c r="C300" s="66" t="s">
        <v>27</v>
      </c>
      <c r="D300" s="67" t="s">
        <v>25</v>
      </c>
      <c r="E300" s="70" t="s">
        <v>28</v>
      </c>
      <c r="F300" s="67" t="s">
        <v>29</v>
      </c>
      <c r="G300" s="67" t="s">
        <v>30</v>
      </c>
    </row>
    <row r="301" spans="1:7" ht="38.25">
      <c r="A301" s="66" t="s">
        <v>32</v>
      </c>
      <c r="B301" s="71" t="str">
        <f>B292</f>
        <v>CP 015A</v>
      </c>
      <c r="C301" s="66" t="str">
        <f>C292</f>
        <v>LUMINÁRIA LED INDUSTRIAL HIGH BAY SMD 200W BRANCO FRIO 6500K, BIVOLT, EL MÍNIMA DE 140LM/W, FP&gt;0,95, ÂNGULO DE ABERTURA DE 180º</v>
      </c>
      <c r="D301" s="67" t="str">
        <f>D292</f>
        <v>UN</v>
      </c>
      <c r="E301" s="73">
        <v>1</v>
      </c>
      <c r="F301" s="74"/>
      <c r="G301" s="74"/>
    </row>
    <row r="302" spans="1:7" ht="25.5">
      <c r="A302" s="16" t="s">
        <v>630</v>
      </c>
      <c r="B302" s="71">
        <v>21127</v>
      </c>
      <c r="C302" s="66" t="s">
        <v>245</v>
      </c>
      <c r="D302" s="67" t="s">
        <v>12</v>
      </c>
      <c r="E302" s="73">
        <v>0.042</v>
      </c>
      <c r="F302" s="74"/>
      <c r="G302" s="74"/>
    </row>
    <row r="303" spans="1:7" ht="14.25">
      <c r="A303" s="16" t="s">
        <v>630</v>
      </c>
      <c r="B303" s="71" t="s">
        <v>150</v>
      </c>
      <c r="C303" s="66" t="s">
        <v>151</v>
      </c>
      <c r="D303" s="67" t="s">
        <v>17</v>
      </c>
      <c r="E303" s="73">
        <v>0.5888</v>
      </c>
      <c r="F303" s="74"/>
      <c r="G303" s="74"/>
    </row>
    <row r="304" spans="1:7" ht="14.25">
      <c r="A304" s="16" t="s">
        <v>630</v>
      </c>
      <c r="B304" s="71" t="s">
        <v>152</v>
      </c>
      <c r="C304" s="66" t="s">
        <v>153</v>
      </c>
      <c r="D304" s="67" t="s">
        <v>17</v>
      </c>
      <c r="E304" s="73">
        <v>0.5888</v>
      </c>
      <c r="F304" s="74"/>
      <c r="G304" s="74"/>
    </row>
    <row r="306" spans="1:7" ht="14.25">
      <c r="A306" s="66"/>
      <c r="B306" s="66"/>
      <c r="C306" s="66" t="s">
        <v>24</v>
      </c>
      <c r="D306" s="67" t="s">
        <v>25</v>
      </c>
      <c r="E306" s="70" t="s">
        <v>47</v>
      </c>
      <c r="F306" s="67"/>
      <c r="G306" s="67"/>
    </row>
    <row r="307" spans="1:7" ht="38.25">
      <c r="A307" s="66" t="s">
        <v>35</v>
      </c>
      <c r="B307" s="68" t="s">
        <v>168</v>
      </c>
      <c r="C307" s="68" t="s">
        <v>282</v>
      </c>
      <c r="D307" s="69" t="s">
        <v>12</v>
      </c>
      <c r="E307" s="72">
        <f>SUM(G309:G317)</f>
        <v>0</v>
      </c>
      <c r="F307" s="67"/>
      <c r="G307" s="67"/>
    </row>
    <row r="308" spans="1:7" ht="14.25">
      <c r="A308" s="66"/>
      <c r="B308" s="66" t="s">
        <v>2</v>
      </c>
      <c r="C308" s="66" t="s">
        <v>27</v>
      </c>
      <c r="D308" s="67" t="s">
        <v>25</v>
      </c>
      <c r="E308" s="70" t="s">
        <v>28</v>
      </c>
      <c r="F308" s="67" t="s">
        <v>29</v>
      </c>
      <c r="G308" s="67" t="s">
        <v>30</v>
      </c>
    </row>
    <row r="309" spans="1:7" ht="25.5">
      <c r="A309" s="16" t="s">
        <v>630</v>
      </c>
      <c r="B309" s="71">
        <v>90447</v>
      </c>
      <c r="C309" s="66" t="s">
        <v>158</v>
      </c>
      <c r="D309" s="67" t="s">
        <v>18</v>
      </c>
      <c r="E309" s="73" t="s">
        <v>284</v>
      </c>
      <c r="F309" s="74"/>
      <c r="G309" s="74"/>
    </row>
    <row r="310" spans="1:7" ht="25.5">
      <c r="A310" s="16" t="s">
        <v>630</v>
      </c>
      <c r="B310" s="71">
        <v>90456</v>
      </c>
      <c r="C310" s="66" t="s">
        <v>159</v>
      </c>
      <c r="D310" s="67" t="s">
        <v>12</v>
      </c>
      <c r="E310" s="73" t="s">
        <v>285</v>
      </c>
      <c r="F310" s="74"/>
      <c r="G310" s="74"/>
    </row>
    <row r="311" spans="1:7" ht="38.25">
      <c r="A311" s="16" t="s">
        <v>630</v>
      </c>
      <c r="B311" s="71" t="s">
        <v>160</v>
      </c>
      <c r="C311" s="66" t="s">
        <v>161</v>
      </c>
      <c r="D311" s="67" t="s">
        <v>18</v>
      </c>
      <c r="E311" s="73" t="s">
        <v>284</v>
      </c>
      <c r="F311" s="74"/>
      <c r="G311" s="74"/>
    </row>
    <row r="312" spans="1:7" ht="38.25">
      <c r="A312" s="16" t="s">
        <v>630</v>
      </c>
      <c r="B312" s="71">
        <v>91842</v>
      </c>
      <c r="C312" s="66" t="s">
        <v>162</v>
      </c>
      <c r="D312" s="67" t="s">
        <v>18</v>
      </c>
      <c r="E312" s="73" t="s">
        <v>232</v>
      </c>
      <c r="F312" s="74"/>
      <c r="G312" s="74"/>
    </row>
    <row r="313" spans="1:7" ht="38.25">
      <c r="A313" s="16" t="s">
        <v>630</v>
      </c>
      <c r="B313" s="71">
        <v>91852</v>
      </c>
      <c r="C313" s="66" t="s">
        <v>163</v>
      </c>
      <c r="D313" s="67" t="s">
        <v>18</v>
      </c>
      <c r="E313" s="73" t="s">
        <v>284</v>
      </c>
      <c r="F313" s="74"/>
      <c r="G313" s="74"/>
    </row>
    <row r="314" spans="1:7" ht="38.25">
      <c r="A314" s="16" t="s">
        <v>630</v>
      </c>
      <c r="B314" s="71">
        <v>91926</v>
      </c>
      <c r="C314" s="66" t="s">
        <v>283</v>
      </c>
      <c r="D314" s="67" t="s">
        <v>18</v>
      </c>
      <c r="E314" s="73" t="s">
        <v>286</v>
      </c>
      <c r="F314" s="74"/>
      <c r="G314" s="74"/>
    </row>
    <row r="315" spans="1:7" ht="25.5">
      <c r="A315" s="16" t="s">
        <v>630</v>
      </c>
      <c r="B315" s="71">
        <v>91937</v>
      </c>
      <c r="C315" s="66" t="s">
        <v>164</v>
      </c>
      <c r="D315" s="67" t="s">
        <v>12</v>
      </c>
      <c r="E315" s="73" t="s">
        <v>287</v>
      </c>
      <c r="F315" s="74"/>
      <c r="G315" s="74"/>
    </row>
    <row r="316" spans="1:7" ht="38.25">
      <c r="A316" s="16" t="s">
        <v>630</v>
      </c>
      <c r="B316" s="71">
        <v>91940</v>
      </c>
      <c r="C316" s="66" t="s">
        <v>165</v>
      </c>
      <c r="D316" s="67" t="s">
        <v>12</v>
      </c>
      <c r="E316" s="73" t="s">
        <v>285</v>
      </c>
      <c r="F316" s="74"/>
      <c r="G316" s="74"/>
    </row>
    <row r="317" spans="1:7" ht="25.5">
      <c r="A317" s="16" t="s">
        <v>630</v>
      </c>
      <c r="B317" s="71">
        <v>7525</v>
      </c>
      <c r="C317" s="66" t="s">
        <v>288</v>
      </c>
      <c r="D317" s="67" t="s">
        <v>12</v>
      </c>
      <c r="E317" s="73" t="s">
        <v>285</v>
      </c>
      <c r="F317" s="74"/>
      <c r="G317" s="74"/>
    </row>
    <row r="319" spans="1:7" ht="14.25">
      <c r="A319" s="66"/>
      <c r="B319" s="66"/>
      <c r="C319" s="66" t="s">
        <v>24</v>
      </c>
      <c r="D319" s="67" t="s">
        <v>25</v>
      </c>
      <c r="E319" s="70" t="s">
        <v>47</v>
      </c>
      <c r="F319" s="67"/>
      <c r="G319" s="67"/>
    </row>
    <row r="320" spans="1:7" ht="25.5">
      <c r="A320" s="66" t="s">
        <v>35</v>
      </c>
      <c r="B320" s="68" t="s">
        <v>311</v>
      </c>
      <c r="C320" s="68" t="s">
        <v>312</v>
      </c>
      <c r="D320" s="69" t="s">
        <v>12</v>
      </c>
      <c r="E320" s="72">
        <f>SUM(G322:G325)</f>
        <v>0</v>
      </c>
      <c r="F320" s="67"/>
      <c r="G320" s="67"/>
    </row>
    <row r="321" spans="1:7" ht="14.25">
      <c r="A321" s="66"/>
      <c r="B321" s="66" t="s">
        <v>2</v>
      </c>
      <c r="C321" s="66" t="s">
        <v>27</v>
      </c>
      <c r="D321" s="67" t="s">
        <v>25</v>
      </c>
      <c r="E321" s="70" t="s">
        <v>28</v>
      </c>
      <c r="F321" s="67" t="s">
        <v>29</v>
      </c>
      <c r="G321" s="67" t="s">
        <v>30</v>
      </c>
    </row>
    <row r="322" spans="1:7" ht="25.5">
      <c r="A322" s="16" t="s">
        <v>630</v>
      </c>
      <c r="B322" s="71">
        <v>43435</v>
      </c>
      <c r="C322" s="66" t="s">
        <v>309</v>
      </c>
      <c r="D322" s="67" t="s">
        <v>12</v>
      </c>
      <c r="E322" s="73">
        <v>1</v>
      </c>
      <c r="F322" s="74"/>
      <c r="G322" s="74"/>
    </row>
    <row r="323" spans="1:7" ht="25.5">
      <c r="A323" s="16" t="s">
        <v>630</v>
      </c>
      <c r="B323" s="71">
        <v>11289</v>
      </c>
      <c r="C323" s="66" t="s">
        <v>310</v>
      </c>
      <c r="D323" s="67" t="s">
        <v>12</v>
      </c>
      <c r="E323" s="73">
        <v>1</v>
      </c>
      <c r="F323" s="74"/>
      <c r="G323" s="74"/>
    </row>
    <row r="324" spans="1:7" ht="14.25">
      <c r="A324" s="16" t="s">
        <v>630</v>
      </c>
      <c r="B324" s="71" t="s">
        <v>150</v>
      </c>
      <c r="C324" s="66" t="s">
        <v>151</v>
      </c>
      <c r="D324" s="67" t="s">
        <v>17</v>
      </c>
      <c r="E324" s="73">
        <v>1</v>
      </c>
      <c r="F324" s="74"/>
      <c r="G324" s="74"/>
    </row>
    <row r="325" spans="1:7" ht="14.25">
      <c r="A325" s="16" t="s">
        <v>630</v>
      </c>
      <c r="B325" s="71" t="s">
        <v>152</v>
      </c>
      <c r="C325" s="66" t="s">
        <v>153</v>
      </c>
      <c r="D325" s="67" t="s">
        <v>17</v>
      </c>
      <c r="E325" s="73">
        <v>1</v>
      </c>
      <c r="F325" s="74"/>
      <c r="G325" s="74"/>
    </row>
    <row r="327" spans="1:7" ht="14.25">
      <c r="A327" s="66"/>
      <c r="B327" s="66"/>
      <c r="C327" s="66" t="s">
        <v>24</v>
      </c>
      <c r="D327" s="67" t="s">
        <v>25</v>
      </c>
      <c r="E327" s="70" t="s">
        <v>47</v>
      </c>
      <c r="F327" s="67"/>
      <c r="G327" s="67"/>
    </row>
    <row r="328" spans="1:7" ht="25.5">
      <c r="A328" s="66" t="s">
        <v>35</v>
      </c>
      <c r="B328" s="68" t="s">
        <v>332</v>
      </c>
      <c r="C328" s="68" t="s">
        <v>333</v>
      </c>
      <c r="D328" s="69" t="s">
        <v>12</v>
      </c>
      <c r="E328" s="72" t="e">
        <f>AVERAGE(G330:G332)</f>
        <v>#DIV/0!</v>
      </c>
      <c r="F328" s="67"/>
      <c r="G328" s="67"/>
    </row>
    <row r="329" spans="1:7" ht="14.25">
      <c r="A329" s="66"/>
      <c r="B329" s="66" t="s">
        <v>2</v>
      </c>
      <c r="C329" s="66" t="s">
        <v>27</v>
      </c>
      <c r="D329" s="67" t="s">
        <v>25</v>
      </c>
      <c r="E329" s="70" t="s">
        <v>28</v>
      </c>
      <c r="F329" s="67" t="s">
        <v>29</v>
      </c>
      <c r="G329" s="67" t="s">
        <v>30</v>
      </c>
    </row>
    <row r="330" spans="1:7" ht="14.25">
      <c r="A330" s="66" t="s">
        <v>32</v>
      </c>
      <c r="B330" s="71" t="s">
        <v>39</v>
      </c>
      <c r="C330" s="66" t="s">
        <v>330</v>
      </c>
      <c r="D330" s="67" t="s">
        <v>12</v>
      </c>
      <c r="E330" s="73">
        <v>1</v>
      </c>
      <c r="F330" s="74"/>
      <c r="G330" s="74"/>
    </row>
    <row r="331" spans="1:7" ht="14.25">
      <c r="A331" s="66" t="s">
        <v>32</v>
      </c>
      <c r="B331" s="71" t="s">
        <v>40</v>
      </c>
      <c r="C331" s="66" t="s">
        <v>331</v>
      </c>
      <c r="D331" s="67" t="s">
        <v>12</v>
      </c>
      <c r="E331" s="73">
        <v>1</v>
      </c>
      <c r="F331" s="74"/>
      <c r="G331" s="74"/>
    </row>
    <row r="332" spans="1:7" ht="14.25">
      <c r="A332" s="66" t="s">
        <v>32</v>
      </c>
      <c r="B332" s="82" t="s">
        <v>43</v>
      </c>
      <c r="C332" s="66" t="s">
        <v>280</v>
      </c>
      <c r="D332" s="67" t="s">
        <v>12</v>
      </c>
      <c r="E332" s="73">
        <v>1</v>
      </c>
      <c r="F332" s="74"/>
      <c r="G332" s="74"/>
    </row>
    <row r="334" spans="1:7" ht="14.25">
      <c r="A334" s="66"/>
      <c r="B334" s="66"/>
      <c r="C334" s="66" t="s">
        <v>24</v>
      </c>
      <c r="D334" s="67" t="s">
        <v>25</v>
      </c>
      <c r="E334" s="70" t="s">
        <v>47</v>
      </c>
      <c r="F334" s="67"/>
      <c r="G334" s="67"/>
    </row>
    <row r="335" spans="1:7" ht="94.5" customHeight="1">
      <c r="A335" s="66" t="s">
        <v>35</v>
      </c>
      <c r="B335" s="68" t="s">
        <v>328</v>
      </c>
      <c r="C335" s="68" t="s">
        <v>335</v>
      </c>
      <c r="D335" s="69" t="s">
        <v>12</v>
      </c>
      <c r="E335" s="72">
        <f>SUM(G337:G339)</f>
        <v>0</v>
      </c>
      <c r="F335" s="67"/>
      <c r="G335" s="67"/>
    </row>
    <row r="336" spans="1:7" ht="14.25">
      <c r="A336" s="66"/>
      <c r="B336" s="66" t="s">
        <v>2</v>
      </c>
      <c r="C336" s="66" t="s">
        <v>27</v>
      </c>
      <c r="D336" s="67" t="s">
        <v>25</v>
      </c>
      <c r="E336" s="70" t="s">
        <v>28</v>
      </c>
      <c r="F336" s="67" t="s">
        <v>29</v>
      </c>
      <c r="G336" s="67" t="s">
        <v>30</v>
      </c>
    </row>
    <row r="337" spans="1:7" ht="51">
      <c r="A337" s="16" t="s">
        <v>630</v>
      </c>
      <c r="B337" s="71">
        <v>12043</v>
      </c>
      <c r="C337" s="66" t="s">
        <v>334</v>
      </c>
      <c r="D337" s="67" t="s">
        <v>12</v>
      </c>
      <c r="E337" s="73">
        <v>1</v>
      </c>
      <c r="F337" s="74"/>
      <c r="G337" s="74"/>
    </row>
    <row r="338" spans="1:7" ht="25.5">
      <c r="A338" s="16" t="s">
        <v>630</v>
      </c>
      <c r="B338" s="71">
        <v>34709</v>
      </c>
      <c r="C338" s="66" t="s">
        <v>329</v>
      </c>
      <c r="D338" s="67" t="s">
        <v>12</v>
      </c>
      <c r="E338" s="73">
        <v>3</v>
      </c>
      <c r="F338" s="74"/>
      <c r="G338" s="74"/>
    </row>
    <row r="339" spans="1:7" ht="25.5">
      <c r="A339" s="66" t="s">
        <v>32</v>
      </c>
      <c r="B339" s="71" t="str">
        <f>B328</f>
        <v>CP 018A</v>
      </c>
      <c r="C339" s="66" t="str">
        <f>C328</f>
        <v>BARRAMENTO COBRE NEUTRO / TERRA 225A 1 X 1/8 40 PARAFUSOS PINTADO COM ISOLADORES</v>
      </c>
      <c r="D339" s="67" t="str">
        <f>D328</f>
        <v>UN</v>
      </c>
      <c r="E339" s="73">
        <v>2</v>
      </c>
      <c r="F339" s="74"/>
      <c r="G339" s="74"/>
    </row>
    <row r="341" spans="1:7" ht="14.25">
      <c r="A341" s="66"/>
      <c r="B341" s="66"/>
      <c r="C341" s="66" t="s">
        <v>24</v>
      </c>
      <c r="D341" s="67" t="s">
        <v>25</v>
      </c>
      <c r="E341" s="70" t="s">
        <v>47</v>
      </c>
      <c r="F341" s="67"/>
      <c r="G341" s="67"/>
    </row>
    <row r="342" spans="1:7" ht="38.25">
      <c r="A342" s="66" t="s">
        <v>35</v>
      </c>
      <c r="B342" s="68" t="s">
        <v>365</v>
      </c>
      <c r="C342" s="68" t="s">
        <v>368</v>
      </c>
      <c r="D342" s="69" t="s">
        <v>12</v>
      </c>
      <c r="E342" s="72" t="e">
        <f>AVERAGE(G344:G346)</f>
        <v>#DIV/0!</v>
      </c>
      <c r="F342" s="67"/>
      <c r="G342" s="67"/>
    </row>
    <row r="343" spans="1:7" ht="14.25">
      <c r="A343" s="66"/>
      <c r="B343" s="66" t="s">
        <v>2</v>
      </c>
      <c r="C343" s="66" t="s">
        <v>27</v>
      </c>
      <c r="D343" s="67" t="s">
        <v>25</v>
      </c>
      <c r="E343" s="70" t="s">
        <v>28</v>
      </c>
      <c r="F343" s="67" t="s">
        <v>29</v>
      </c>
      <c r="G343" s="67" t="s">
        <v>30</v>
      </c>
    </row>
    <row r="344" spans="1:7" ht="14.25">
      <c r="A344" s="66" t="s">
        <v>32</v>
      </c>
      <c r="B344" s="71" t="s">
        <v>39</v>
      </c>
      <c r="C344" s="66" t="s">
        <v>274</v>
      </c>
      <c r="D344" s="67" t="s">
        <v>12</v>
      </c>
      <c r="E344" s="73">
        <v>1</v>
      </c>
      <c r="F344" s="74"/>
      <c r="G344" s="74"/>
    </row>
    <row r="345" spans="1:7" ht="14.25">
      <c r="A345" s="66" t="s">
        <v>32</v>
      </c>
      <c r="B345" s="71" t="s">
        <v>40</v>
      </c>
      <c r="C345" s="66" t="s">
        <v>369</v>
      </c>
      <c r="D345" s="67" t="s">
        <v>12</v>
      </c>
      <c r="E345" s="73">
        <v>1</v>
      </c>
      <c r="F345" s="74"/>
      <c r="G345" s="74"/>
    </row>
    <row r="346" spans="1:7" ht="14.25">
      <c r="A346" s="66" t="s">
        <v>32</v>
      </c>
      <c r="B346" s="82" t="s">
        <v>43</v>
      </c>
      <c r="C346" s="66" t="s">
        <v>331</v>
      </c>
      <c r="D346" s="67" t="s">
        <v>12</v>
      </c>
      <c r="E346" s="73">
        <v>1</v>
      </c>
      <c r="F346" s="74"/>
      <c r="G346" s="74"/>
    </row>
    <row r="348" spans="1:7" ht="14.25">
      <c r="A348" s="66"/>
      <c r="B348" s="66"/>
      <c r="C348" s="66" t="s">
        <v>24</v>
      </c>
      <c r="D348" s="67" t="s">
        <v>25</v>
      </c>
      <c r="E348" s="70" t="s">
        <v>47</v>
      </c>
      <c r="F348" s="67"/>
      <c r="G348" s="67"/>
    </row>
    <row r="349" spans="1:7" ht="25.5">
      <c r="A349" s="66" t="s">
        <v>35</v>
      </c>
      <c r="B349" s="68" t="s">
        <v>366</v>
      </c>
      <c r="C349" s="68" t="s">
        <v>372</v>
      </c>
      <c r="D349" s="69" t="s">
        <v>12</v>
      </c>
      <c r="E349" s="72" t="e">
        <f>AVERAGE(G351:G353)</f>
        <v>#DIV/0!</v>
      </c>
      <c r="F349" s="67"/>
      <c r="G349" s="67"/>
    </row>
    <row r="350" spans="1:7" ht="14.25">
      <c r="A350" s="66"/>
      <c r="B350" s="66" t="s">
        <v>2</v>
      </c>
      <c r="C350" s="66" t="s">
        <v>27</v>
      </c>
      <c r="D350" s="67" t="s">
        <v>25</v>
      </c>
      <c r="E350" s="70" t="s">
        <v>28</v>
      </c>
      <c r="F350" s="67" t="s">
        <v>29</v>
      </c>
      <c r="G350" s="67" t="s">
        <v>30</v>
      </c>
    </row>
    <row r="351" spans="1:7" ht="14.25">
      <c r="A351" s="66" t="s">
        <v>32</v>
      </c>
      <c r="B351" s="71" t="s">
        <v>39</v>
      </c>
      <c r="C351" s="66" t="s">
        <v>370</v>
      </c>
      <c r="D351" s="67" t="s">
        <v>12</v>
      </c>
      <c r="E351" s="73">
        <v>1</v>
      </c>
      <c r="F351" s="74"/>
      <c r="G351" s="74"/>
    </row>
    <row r="352" spans="1:7" ht="14.25">
      <c r="A352" s="66" t="s">
        <v>32</v>
      </c>
      <c r="B352" s="71" t="s">
        <v>40</v>
      </c>
      <c r="C352" s="66" t="s">
        <v>371</v>
      </c>
      <c r="D352" s="67" t="s">
        <v>12</v>
      </c>
      <c r="E352" s="73">
        <v>1</v>
      </c>
      <c r="F352" s="74"/>
      <c r="G352" s="74"/>
    </row>
    <row r="353" spans="1:7" ht="14.25">
      <c r="A353" s="66" t="s">
        <v>32</v>
      </c>
      <c r="B353" s="82" t="s">
        <v>43</v>
      </c>
      <c r="C353" s="66" t="s">
        <v>250</v>
      </c>
      <c r="D353" s="67" t="s">
        <v>12</v>
      </c>
      <c r="E353" s="73">
        <v>1</v>
      </c>
      <c r="F353" s="74"/>
      <c r="G353" s="74"/>
    </row>
    <row r="355" spans="1:7" ht="14.25">
      <c r="A355" s="66"/>
      <c r="B355" s="66"/>
      <c r="C355" s="66" t="s">
        <v>24</v>
      </c>
      <c r="D355" s="67" t="s">
        <v>25</v>
      </c>
      <c r="E355" s="70" t="s">
        <v>47</v>
      </c>
      <c r="F355" s="67"/>
      <c r="G355" s="67"/>
    </row>
    <row r="356" spans="1:7" ht="25.5">
      <c r="A356" s="66" t="s">
        <v>35</v>
      </c>
      <c r="B356" s="68" t="s">
        <v>367</v>
      </c>
      <c r="C356" s="68" t="s">
        <v>373</v>
      </c>
      <c r="D356" s="69" t="s">
        <v>12</v>
      </c>
      <c r="E356" s="72" t="e">
        <f>AVERAGE(G358:G360)</f>
        <v>#DIV/0!</v>
      </c>
      <c r="F356" s="67"/>
      <c r="G356" s="67"/>
    </row>
    <row r="357" spans="1:7" ht="14.25">
      <c r="A357" s="66"/>
      <c r="B357" s="66" t="s">
        <v>2</v>
      </c>
      <c r="C357" s="66" t="s">
        <v>27</v>
      </c>
      <c r="D357" s="67" t="s">
        <v>25</v>
      </c>
      <c r="E357" s="70" t="s">
        <v>28</v>
      </c>
      <c r="F357" s="67" t="s">
        <v>29</v>
      </c>
      <c r="G357" s="67" t="s">
        <v>30</v>
      </c>
    </row>
    <row r="358" spans="1:7" ht="14.25">
      <c r="A358" s="66" t="s">
        <v>32</v>
      </c>
      <c r="B358" s="71" t="s">
        <v>39</v>
      </c>
      <c r="C358" s="66" t="s">
        <v>374</v>
      </c>
      <c r="D358" s="67" t="s">
        <v>12</v>
      </c>
      <c r="E358" s="73">
        <v>1</v>
      </c>
      <c r="F358" s="74"/>
      <c r="G358" s="74"/>
    </row>
    <row r="359" spans="1:7" ht="14.25">
      <c r="A359" s="66" t="s">
        <v>32</v>
      </c>
      <c r="B359" s="71" t="s">
        <v>40</v>
      </c>
      <c r="C359" s="66" t="s">
        <v>375</v>
      </c>
      <c r="D359" s="67" t="s">
        <v>12</v>
      </c>
      <c r="E359" s="73">
        <v>1</v>
      </c>
      <c r="F359" s="74"/>
      <c r="G359" s="74"/>
    </row>
    <row r="360" spans="1:7" ht="14.25">
      <c r="A360" s="66" t="s">
        <v>32</v>
      </c>
      <c r="B360" s="82" t="s">
        <v>43</v>
      </c>
      <c r="C360" s="66" t="s">
        <v>376</v>
      </c>
      <c r="D360" s="67" t="s">
        <v>12</v>
      </c>
      <c r="E360" s="73">
        <v>1</v>
      </c>
      <c r="F360" s="74"/>
      <c r="G360" s="74"/>
    </row>
    <row r="361" spans="1:7" ht="14.25">
      <c r="A361" s="84"/>
      <c r="B361" s="87"/>
      <c r="C361" s="84"/>
      <c r="D361" s="85"/>
      <c r="E361" s="86"/>
      <c r="F361" s="28"/>
      <c r="G361" s="28"/>
    </row>
    <row r="362" spans="1:7" ht="14.25">
      <c r="A362" s="66"/>
      <c r="B362" s="66"/>
      <c r="C362" s="66" t="s">
        <v>24</v>
      </c>
      <c r="D362" s="67" t="s">
        <v>25</v>
      </c>
      <c r="E362" s="70" t="s">
        <v>47</v>
      </c>
      <c r="F362" s="67"/>
      <c r="G362" s="67"/>
    </row>
    <row r="363" spans="1:7" ht="25.5">
      <c r="A363" s="66" t="s">
        <v>35</v>
      </c>
      <c r="B363" s="68" t="s">
        <v>377</v>
      </c>
      <c r="C363" s="68" t="s">
        <v>379</v>
      </c>
      <c r="D363" s="69" t="s">
        <v>12</v>
      </c>
      <c r="E363" s="72" t="e">
        <f>AVERAGE(G365:G367)</f>
        <v>#DIV/0!</v>
      </c>
      <c r="F363" s="67"/>
      <c r="G363" s="67"/>
    </row>
    <row r="364" spans="1:7" ht="14.25">
      <c r="A364" s="66"/>
      <c r="B364" s="66" t="s">
        <v>2</v>
      </c>
      <c r="C364" s="66" t="s">
        <v>27</v>
      </c>
      <c r="D364" s="67" t="s">
        <v>25</v>
      </c>
      <c r="E364" s="70" t="s">
        <v>28</v>
      </c>
      <c r="F364" s="67" t="s">
        <v>29</v>
      </c>
      <c r="G364" s="67" t="s">
        <v>30</v>
      </c>
    </row>
    <row r="365" spans="1:7" ht="14.25">
      <c r="A365" s="66" t="s">
        <v>32</v>
      </c>
      <c r="B365" s="71" t="s">
        <v>39</v>
      </c>
      <c r="C365" s="66" t="s">
        <v>384</v>
      </c>
      <c r="D365" s="67" t="s">
        <v>12</v>
      </c>
      <c r="E365" s="73">
        <v>1</v>
      </c>
      <c r="F365" s="74"/>
      <c r="G365" s="74"/>
    </row>
    <row r="366" spans="1:7" ht="14.25">
      <c r="A366" s="66" t="s">
        <v>32</v>
      </c>
      <c r="B366" s="71" t="s">
        <v>40</v>
      </c>
      <c r="C366" s="66" t="s">
        <v>385</v>
      </c>
      <c r="D366" s="67" t="s">
        <v>12</v>
      </c>
      <c r="E366" s="73">
        <v>1</v>
      </c>
      <c r="F366" s="74"/>
      <c r="G366" s="74"/>
    </row>
    <row r="367" spans="1:7" ht="14.25">
      <c r="A367" s="66" t="s">
        <v>32</v>
      </c>
      <c r="B367" s="82" t="s">
        <v>43</v>
      </c>
      <c r="C367" s="66" t="s">
        <v>386</v>
      </c>
      <c r="D367" s="67" t="s">
        <v>12</v>
      </c>
      <c r="E367" s="73">
        <v>1</v>
      </c>
      <c r="F367" s="74"/>
      <c r="G367" s="74"/>
    </row>
    <row r="368" spans="1:7" ht="14.25">
      <c r="A368" s="84"/>
      <c r="B368" s="87"/>
      <c r="C368" s="84"/>
      <c r="D368" s="85"/>
      <c r="E368" s="86"/>
      <c r="F368" s="28"/>
      <c r="G368" s="28"/>
    </row>
    <row r="369" spans="1:7" ht="14.25">
      <c r="A369" s="66"/>
      <c r="B369" s="66"/>
      <c r="C369" s="66" t="s">
        <v>24</v>
      </c>
      <c r="D369" s="67" t="s">
        <v>25</v>
      </c>
      <c r="E369" s="70" t="s">
        <v>47</v>
      </c>
      <c r="F369" s="67"/>
      <c r="G369" s="67"/>
    </row>
    <row r="370" spans="1:7" ht="25.5">
      <c r="A370" s="66" t="s">
        <v>35</v>
      </c>
      <c r="B370" s="68" t="s">
        <v>378</v>
      </c>
      <c r="C370" s="68" t="s">
        <v>382</v>
      </c>
      <c r="D370" s="69" t="s">
        <v>12</v>
      </c>
      <c r="E370" s="72" t="e">
        <f>AVERAGE(G372:G374)</f>
        <v>#DIV/0!</v>
      </c>
      <c r="F370" s="67"/>
      <c r="G370" s="67"/>
    </row>
    <row r="371" spans="1:7" ht="14.25">
      <c r="A371" s="66"/>
      <c r="B371" s="66" t="s">
        <v>2</v>
      </c>
      <c r="C371" s="66" t="s">
        <v>27</v>
      </c>
      <c r="D371" s="67" t="s">
        <v>25</v>
      </c>
      <c r="E371" s="70" t="s">
        <v>28</v>
      </c>
      <c r="F371" s="67" t="s">
        <v>29</v>
      </c>
      <c r="G371" s="67" t="s">
        <v>30</v>
      </c>
    </row>
    <row r="372" spans="1:7" ht="14.25">
      <c r="A372" s="66" t="s">
        <v>32</v>
      </c>
      <c r="B372" s="71" t="s">
        <v>39</v>
      </c>
      <c r="C372" s="66" t="s">
        <v>331</v>
      </c>
      <c r="D372" s="67" t="s">
        <v>12</v>
      </c>
      <c r="E372" s="73">
        <v>1</v>
      </c>
      <c r="F372" s="74"/>
      <c r="G372" s="74"/>
    </row>
    <row r="373" spans="1:7" ht="14.25">
      <c r="A373" s="66" t="s">
        <v>32</v>
      </c>
      <c r="B373" s="71" t="s">
        <v>40</v>
      </c>
      <c r="C373" s="66" t="s">
        <v>369</v>
      </c>
      <c r="D373" s="67" t="s">
        <v>12</v>
      </c>
      <c r="E373" s="73">
        <v>1</v>
      </c>
      <c r="F373" s="74"/>
      <c r="G373" s="74"/>
    </row>
    <row r="374" spans="1:7" ht="14.25">
      <c r="A374" s="66" t="s">
        <v>32</v>
      </c>
      <c r="B374" s="82" t="s">
        <v>43</v>
      </c>
      <c r="C374" s="66" t="s">
        <v>280</v>
      </c>
      <c r="D374" s="67" t="s">
        <v>12</v>
      </c>
      <c r="E374" s="73">
        <v>1</v>
      </c>
      <c r="F374" s="74"/>
      <c r="G374" s="74"/>
    </row>
    <row r="375" spans="1:7" ht="14.25">
      <c r="A375" s="84"/>
      <c r="B375" s="87"/>
      <c r="C375" s="84"/>
      <c r="D375" s="85"/>
      <c r="E375" s="86"/>
      <c r="F375" s="28"/>
      <c r="G375" s="28"/>
    </row>
    <row r="376" spans="1:7" ht="14.25">
      <c r="A376" s="66"/>
      <c r="B376" s="66"/>
      <c r="C376" s="66" t="s">
        <v>24</v>
      </c>
      <c r="D376" s="67" t="s">
        <v>25</v>
      </c>
      <c r="E376" s="70" t="s">
        <v>47</v>
      </c>
      <c r="F376" s="67"/>
      <c r="G376" s="67"/>
    </row>
    <row r="377" spans="1:7" ht="25.5">
      <c r="A377" s="66" t="s">
        <v>35</v>
      </c>
      <c r="B377" s="68" t="s">
        <v>380</v>
      </c>
      <c r="C377" s="68" t="s">
        <v>383</v>
      </c>
      <c r="D377" s="69" t="s">
        <v>12</v>
      </c>
      <c r="E377" s="72" t="e">
        <f>AVERAGE(G379:G381)</f>
        <v>#DIV/0!</v>
      </c>
      <c r="F377" s="67"/>
      <c r="G377" s="67"/>
    </row>
    <row r="378" spans="1:7" ht="14.25">
      <c r="A378" s="66"/>
      <c r="B378" s="66" t="s">
        <v>2</v>
      </c>
      <c r="C378" s="66" t="s">
        <v>27</v>
      </c>
      <c r="D378" s="67" t="s">
        <v>25</v>
      </c>
      <c r="E378" s="70" t="s">
        <v>28</v>
      </c>
      <c r="F378" s="67" t="s">
        <v>29</v>
      </c>
      <c r="G378" s="67" t="s">
        <v>30</v>
      </c>
    </row>
    <row r="379" spans="1:7" ht="14.25">
      <c r="A379" s="66" t="s">
        <v>32</v>
      </c>
      <c r="B379" s="71" t="s">
        <v>39</v>
      </c>
      <c r="C379" s="66" t="s">
        <v>331</v>
      </c>
      <c r="D379" s="67" t="s">
        <v>12</v>
      </c>
      <c r="E379" s="73">
        <v>1</v>
      </c>
      <c r="F379" s="74"/>
      <c r="G379" s="74"/>
    </row>
    <row r="380" spans="1:7" ht="14.25">
      <c r="A380" s="66" t="s">
        <v>32</v>
      </c>
      <c r="B380" s="71" t="s">
        <v>40</v>
      </c>
      <c r="C380" s="66" t="s">
        <v>259</v>
      </c>
      <c r="D380" s="67" t="s">
        <v>12</v>
      </c>
      <c r="E380" s="73">
        <v>1</v>
      </c>
      <c r="F380" s="74"/>
      <c r="G380" s="74"/>
    </row>
    <row r="381" spans="1:7" ht="14.25">
      <c r="A381" s="66" t="s">
        <v>32</v>
      </c>
      <c r="B381" s="82" t="s">
        <v>43</v>
      </c>
      <c r="C381" s="66" t="s">
        <v>375</v>
      </c>
      <c r="D381" s="67" t="s">
        <v>12</v>
      </c>
      <c r="E381" s="73">
        <v>1</v>
      </c>
      <c r="F381" s="74"/>
      <c r="G381" s="74"/>
    </row>
    <row r="382" spans="1:7" ht="14.25">
      <c r="A382" s="84"/>
      <c r="B382" s="87"/>
      <c r="C382" s="84"/>
      <c r="D382" s="85"/>
      <c r="E382" s="86"/>
      <c r="F382" s="28"/>
      <c r="G382" s="28"/>
    </row>
    <row r="383" spans="1:7" ht="14.25">
      <c r="A383" s="66"/>
      <c r="B383" s="66"/>
      <c r="C383" s="66" t="s">
        <v>24</v>
      </c>
      <c r="D383" s="67" t="s">
        <v>25</v>
      </c>
      <c r="E383" s="70" t="s">
        <v>47</v>
      </c>
      <c r="F383" s="67"/>
      <c r="G383" s="67"/>
    </row>
    <row r="384" spans="1:7" ht="25.5">
      <c r="A384" s="66" t="s">
        <v>35</v>
      </c>
      <c r="B384" s="68" t="s">
        <v>381</v>
      </c>
      <c r="C384" s="68" t="s">
        <v>387</v>
      </c>
      <c r="D384" s="69" t="s">
        <v>12</v>
      </c>
      <c r="E384" s="72" t="e">
        <f>AVERAGE(G386:G388)</f>
        <v>#DIV/0!</v>
      </c>
      <c r="F384" s="67"/>
      <c r="G384" s="67"/>
    </row>
    <row r="385" spans="1:7" ht="14.25">
      <c r="A385" s="66"/>
      <c r="B385" s="66" t="s">
        <v>2</v>
      </c>
      <c r="C385" s="66" t="s">
        <v>27</v>
      </c>
      <c r="D385" s="67" t="s">
        <v>25</v>
      </c>
      <c r="E385" s="70" t="s">
        <v>28</v>
      </c>
      <c r="F385" s="67" t="s">
        <v>29</v>
      </c>
      <c r="G385" s="67" t="s">
        <v>30</v>
      </c>
    </row>
    <row r="386" spans="1:7" ht="14.25">
      <c r="A386" s="66" t="s">
        <v>32</v>
      </c>
      <c r="B386" s="71" t="s">
        <v>39</v>
      </c>
      <c r="C386" s="66" t="s">
        <v>274</v>
      </c>
      <c r="D386" s="67" t="s">
        <v>12</v>
      </c>
      <c r="E386" s="73">
        <v>1</v>
      </c>
      <c r="F386" s="74"/>
      <c r="G386" s="74"/>
    </row>
    <row r="387" spans="1:7" ht="14.25">
      <c r="A387" s="66" t="s">
        <v>32</v>
      </c>
      <c r="B387" s="71" t="s">
        <v>40</v>
      </c>
      <c r="C387" s="66" t="s">
        <v>385</v>
      </c>
      <c r="D387" s="67" t="s">
        <v>12</v>
      </c>
      <c r="E387" s="73">
        <v>1</v>
      </c>
      <c r="F387" s="74"/>
      <c r="G387" s="74"/>
    </row>
    <row r="388" spans="1:7" ht="14.25">
      <c r="A388" s="66" t="s">
        <v>32</v>
      </c>
      <c r="B388" s="82" t="s">
        <v>43</v>
      </c>
      <c r="C388" s="66" t="s">
        <v>388</v>
      </c>
      <c r="D388" s="67" t="s">
        <v>12</v>
      </c>
      <c r="E388" s="73">
        <v>1</v>
      </c>
      <c r="F388" s="74"/>
      <c r="G388" s="74"/>
    </row>
    <row r="389" spans="1:7" ht="14.25">
      <c r="A389" s="84"/>
      <c r="B389" s="87"/>
      <c r="C389" s="84"/>
      <c r="D389" s="85"/>
      <c r="E389" s="86"/>
      <c r="F389" s="28"/>
      <c r="G389" s="28"/>
    </row>
    <row r="390" spans="1:7" ht="14.25">
      <c r="A390" s="66"/>
      <c r="B390" s="66"/>
      <c r="C390" s="66" t="s">
        <v>24</v>
      </c>
      <c r="D390" s="67" t="s">
        <v>25</v>
      </c>
      <c r="E390" s="70" t="s">
        <v>47</v>
      </c>
      <c r="F390" s="67"/>
      <c r="G390" s="67"/>
    </row>
    <row r="391" spans="1:7" ht="25.5">
      <c r="A391" s="66" t="s">
        <v>35</v>
      </c>
      <c r="B391" s="68" t="s">
        <v>389</v>
      </c>
      <c r="C391" s="68" t="s">
        <v>393</v>
      </c>
      <c r="D391" s="69" t="s">
        <v>12</v>
      </c>
      <c r="E391" s="72" t="e">
        <f>AVERAGE(G393:G395)</f>
        <v>#DIV/0!</v>
      </c>
      <c r="F391" s="67"/>
      <c r="G391" s="67"/>
    </row>
    <row r="392" spans="1:7" ht="14.25">
      <c r="A392" s="66"/>
      <c r="B392" s="66" t="s">
        <v>2</v>
      </c>
      <c r="C392" s="66" t="s">
        <v>27</v>
      </c>
      <c r="D392" s="67" t="s">
        <v>25</v>
      </c>
      <c r="E392" s="70" t="s">
        <v>28</v>
      </c>
      <c r="F392" s="67" t="s">
        <v>29</v>
      </c>
      <c r="G392" s="67" t="s">
        <v>30</v>
      </c>
    </row>
    <row r="393" spans="1:7" ht="14.25">
      <c r="A393" s="66" t="s">
        <v>32</v>
      </c>
      <c r="B393" s="71" t="s">
        <v>39</v>
      </c>
      <c r="C393" s="66" t="s">
        <v>391</v>
      </c>
      <c r="D393" s="67" t="s">
        <v>12</v>
      </c>
      <c r="E393" s="73">
        <v>1</v>
      </c>
      <c r="F393" s="74"/>
      <c r="G393" s="74"/>
    </row>
    <row r="394" spans="1:7" ht="14.25">
      <c r="A394" s="66" t="s">
        <v>32</v>
      </c>
      <c r="B394" s="71" t="s">
        <v>40</v>
      </c>
      <c r="C394" s="66" t="s">
        <v>392</v>
      </c>
      <c r="D394" s="67" t="s">
        <v>12</v>
      </c>
      <c r="E394" s="73">
        <v>1</v>
      </c>
      <c r="F394" s="74"/>
      <c r="G394" s="74"/>
    </row>
    <row r="395" spans="1:7" ht="14.25">
      <c r="A395" s="66" t="s">
        <v>32</v>
      </c>
      <c r="B395" s="82" t="s">
        <v>43</v>
      </c>
      <c r="C395" s="66" t="s">
        <v>394</v>
      </c>
      <c r="D395" s="67" t="s">
        <v>12</v>
      </c>
      <c r="E395" s="73">
        <v>1</v>
      </c>
      <c r="F395" s="74"/>
      <c r="G395" s="74"/>
    </row>
    <row r="396" spans="1:7" ht="14.25">
      <c r="A396" s="84"/>
      <c r="B396" s="87"/>
      <c r="C396" s="84"/>
      <c r="D396" s="85"/>
      <c r="E396" s="86"/>
      <c r="F396" s="28"/>
      <c r="G396" s="28"/>
    </row>
    <row r="397" spans="1:7" ht="14.25">
      <c r="A397" s="66"/>
      <c r="B397" s="66"/>
      <c r="C397" s="66" t="s">
        <v>24</v>
      </c>
      <c r="D397" s="67" t="s">
        <v>25</v>
      </c>
      <c r="E397" s="70" t="s">
        <v>47</v>
      </c>
      <c r="F397" s="67"/>
      <c r="G397" s="67"/>
    </row>
    <row r="398" spans="1:7" ht="25.5">
      <c r="A398" s="66" t="s">
        <v>35</v>
      </c>
      <c r="B398" s="68" t="s">
        <v>390</v>
      </c>
      <c r="C398" s="68" t="s">
        <v>396</v>
      </c>
      <c r="D398" s="69" t="s">
        <v>12</v>
      </c>
      <c r="E398" s="72" t="e">
        <f>AVERAGE(G400:G402)</f>
        <v>#DIV/0!</v>
      </c>
      <c r="F398" s="67"/>
      <c r="G398" s="67"/>
    </row>
    <row r="399" spans="1:7" ht="14.25">
      <c r="A399" s="66"/>
      <c r="B399" s="66" t="s">
        <v>2</v>
      </c>
      <c r="C399" s="66" t="s">
        <v>27</v>
      </c>
      <c r="D399" s="67" t="s">
        <v>25</v>
      </c>
      <c r="E399" s="70" t="s">
        <v>28</v>
      </c>
      <c r="F399" s="67" t="s">
        <v>29</v>
      </c>
      <c r="G399" s="67" t="s">
        <v>30</v>
      </c>
    </row>
    <row r="400" spans="1:7" ht="14.25">
      <c r="A400" s="66" t="s">
        <v>32</v>
      </c>
      <c r="B400" s="71" t="s">
        <v>39</v>
      </c>
      <c r="C400" s="66" t="s">
        <v>369</v>
      </c>
      <c r="D400" s="67" t="s">
        <v>12</v>
      </c>
      <c r="E400" s="73">
        <v>1</v>
      </c>
      <c r="F400" s="74"/>
      <c r="G400" s="74"/>
    </row>
    <row r="401" spans="1:7" ht="14.25">
      <c r="A401" s="66" t="s">
        <v>32</v>
      </c>
      <c r="B401" s="71" t="s">
        <v>40</v>
      </c>
      <c r="C401" s="66" t="s">
        <v>376</v>
      </c>
      <c r="D401" s="67" t="s">
        <v>12</v>
      </c>
      <c r="E401" s="73">
        <v>1</v>
      </c>
      <c r="F401" s="74"/>
      <c r="G401" s="74"/>
    </row>
    <row r="402" spans="1:7" ht="14.25">
      <c r="A402" s="66" t="s">
        <v>32</v>
      </c>
      <c r="B402" s="82" t="s">
        <v>43</v>
      </c>
      <c r="C402" s="66" t="s">
        <v>395</v>
      </c>
      <c r="D402" s="67" t="s">
        <v>12</v>
      </c>
      <c r="E402" s="73">
        <v>1</v>
      </c>
      <c r="F402" s="74"/>
      <c r="G402" s="74"/>
    </row>
    <row r="403" spans="1:7" ht="14.25">
      <c r="A403" s="84"/>
      <c r="B403" s="87"/>
      <c r="C403" s="84"/>
      <c r="D403" s="85"/>
      <c r="E403" s="86"/>
      <c r="F403" s="28"/>
      <c r="G403" s="28"/>
    </row>
    <row r="404" spans="1:7" ht="14.25">
      <c r="A404" s="66"/>
      <c r="B404" s="66"/>
      <c r="C404" s="66" t="s">
        <v>24</v>
      </c>
      <c r="D404" s="67" t="s">
        <v>25</v>
      </c>
      <c r="E404" s="70" t="s">
        <v>47</v>
      </c>
      <c r="F404" s="67"/>
      <c r="G404" s="67"/>
    </row>
    <row r="405" spans="1:7" ht="25.5">
      <c r="A405" s="66" t="s">
        <v>35</v>
      </c>
      <c r="B405" s="68" t="s">
        <v>398</v>
      </c>
      <c r="C405" s="68" t="s">
        <v>399</v>
      </c>
      <c r="D405" s="69" t="s">
        <v>12</v>
      </c>
      <c r="E405" s="72" t="e">
        <f>AVERAGE(G407:G409)</f>
        <v>#DIV/0!</v>
      </c>
      <c r="F405" s="67"/>
      <c r="G405" s="67"/>
    </row>
    <row r="406" spans="1:7" ht="14.25">
      <c r="A406" s="66"/>
      <c r="B406" s="66" t="s">
        <v>2</v>
      </c>
      <c r="C406" s="66" t="s">
        <v>27</v>
      </c>
      <c r="D406" s="67" t="s">
        <v>25</v>
      </c>
      <c r="E406" s="70" t="s">
        <v>28</v>
      </c>
      <c r="F406" s="67" t="s">
        <v>29</v>
      </c>
      <c r="G406" s="67" t="s">
        <v>30</v>
      </c>
    </row>
    <row r="407" spans="1:7" ht="14.25">
      <c r="A407" s="66" t="s">
        <v>32</v>
      </c>
      <c r="B407" s="71" t="s">
        <v>39</v>
      </c>
      <c r="C407" s="66" t="s">
        <v>250</v>
      </c>
      <c r="D407" s="67" t="s">
        <v>12</v>
      </c>
      <c r="E407" s="73">
        <v>1</v>
      </c>
      <c r="F407" s="74"/>
      <c r="G407" s="74"/>
    </row>
    <row r="408" spans="1:7" ht="14.25">
      <c r="A408" s="66" t="s">
        <v>32</v>
      </c>
      <c r="B408" s="71" t="s">
        <v>40</v>
      </c>
      <c r="C408" s="66" t="s">
        <v>262</v>
      </c>
      <c r="D408" s="67" t="s">
        <v>12</v>
      </c>
      <c r="E408" s="73">
        <v>1</v>
      </c>
      <c r="F408" s="74"/>
      <c r="G408" s="74"/>
    </row>
    <row r="409" spans="1:7" ht="14.25">
      <c r="A409" s="66" t="s">
        <v>32</v>
      </c>
      <c r="B409" s="82" t="s">
        <v>43</v>
      </c>
      <c r="C409" s="66" t="s">
        <v>274</v>
      </c>
      <c r="D409" s="67" t="s">
        <v>12</v>
      </c>
      <c r="E409" s="73">
        <v>1</v>
      </c>
      <c r="F409" s="89"/>
      <c r="G409" s="74"/>
    </row>
    <row r="411" spans="1:7" ht="14.25">
      <c r="A411" s="66"/>
      <c r="B411" s="66"/>
      <c r="C411" s="66" t="s">
        <v>24</v>
      </c>
      <c r="D411" s="67" t="s">
        <v>25</v>
      </c>
      <c r="E411" s="70" t="s">
        <v>47</v>
      </c>
      <c r="F411" s="67"/>
      <c r="G411" s="67"/>
    </row>
    <row r="412" spans="1:7" ht="38.25">
      <c r="A412" s="66" t="s">
        <v>35</v>
      </c>
      <c r="B412" s="68" t="s">
        <v>364</v>
      </c>
      <c r="C412" s="68" t="s">
        <v>397</v>
      </c>
      <c r="D412" s="69" t="s">
        <v>12</v>
      </c>
      <c r="E412" s="72">
        <f>SUM(G414:G427)</f>
        <v>0</v>
      </c>
      <c r="F412" s="67"/>
      <c r="G412" s="67"/>
    </row>
    <row r="413" spans="1:7" ht="14.25">
      <c r="A413" s="66"/>
      <c r="B413" s="66" t="s">
        <v>2</v>
      </c>
      <c r="C413" s="66" t="s">
        <v>27</v>
      </c>
      <c r="D413" s="67" t="s">
        <v>25</v>
      </c>
      <c r="E413" s="70" t="s">
        <v>28</v>
      </c>
      <c r="F413" s="67" t="s">
        <v>29</v>
      </c>
      <c r="G413" s="67" t="s">
        <v>30</v>
      </c>
    </row>
    <row r="414" spans="1:7" ht="25.5">
      <c r="A414" s="16" t="s">
        <v>32</v>
      </c>
      <c r="B414" s="71" t="str">
        <f>B405</f>
        <v>CP 019J</v>
      </c>
      <c r="C414" s="66" t="str">
        <f>C405</f>
        <v>Quadro de comando metálico - 80x60x20 cm - com trilho din, isolador e canaletas</v>
      </c>
      <c r="D414" s="67" t="s">
        <v>12</v>
      </c>
      <c r="E414" s="73">
        <v>1</v>
      </c>
      <c r="F414" s="74"/>
      <c r="G414" s="74"/>
    </row>
    <row r="415" spans="1:7" ht="39" customHeight="1">
      <c r="A415" s="16" t="s">
        <v>32</v>
      </c>
      <c r="B415" s="71" t="str">
        <f>B342</f>
        <v>CP 019A</v>
      </c>
      <c r="C415" s="66" t="str">
        <f>C342</f>
        <v>Bloco de Contato Auxiliar 1NA - Tensão Nominal de Isolamento: 660 V; Corrente Térmica: 10 A; Durabilidade Elétrica: 500.000 ciclos; Durabilidade Mecânica: 1.000.000 ciclos</v>
      </c>
      <c r="D415" s="67" t="str">
        <f>D342</f>
        <v>UN</v>
      </c>
      <c r="E415" s="73">
        <v>3</v>
      </c>
      <c r="F415" s="74"/>
      <c r="G415" s="74"/>
    </row>
    <row r="416" spans="1:7" ht="14.25">
      <c r="A416" s="16" t="s">
        <v>32</v>
      </c>
      <c r="B416" s="71" t="str">
        <f>B349</f>
        <v>CP 019B</v>
      </c>
      <c r="C416" s="66" t="str">
        <f>C349</f>
        <v>Sinaleiro LED Vermelho/Amarelo 127/220Vca Ø22mm</v>
      </c>
      <c r="D416" s="67" t="str">
        <f>D349</f>
        <v>UN</v>
      </c>
      <c r="E416" s="73">
        <v>3</v>
      </c>
      <c r="F416" s="74"/>
      <c r="G416" s="74"/>
    </row>
    <row r="417" spans="1:7" ht="14.25">
      <c r="A417" s="16" t="s">
        <v>32</v>
      </c>
      <c r="B417" s="71" t="str">
        <f>B356</f>
        <v>CP 019C</v>
      </c>
      <c r="C417" s="66" t="str">
        <f>C356</f>
        <v>Bloco de Contato 1NF para Botão de Comando 5A/380V</v>
      </c>
      <c r="D417" s="67" t="str">
        <f>D344</f>
        <v>UN</v>
      </c>
      <c r="E417" s="73">
        <v>3</v>
      </c>
      <c r="F417" s="74"/>
      <c r="G417" s="74"/>
    </row>
    <row r="418" spans="1:7" ht="14.25">
      <c r="A418" s="16" t="s">
        <v>32</v>
      </c>
      <c r="B418" s="71" t="str">
        <f>B363</f>
        <v>CP 019D</v>
      </c>
      <c r="C418" s="66" t="str">
        <f>C363</f>
        <v>Borne a parafuso 16,0 mm</v>
      </c>
      <c r="D418" s="67" t="str">
        <f>D363</f>
        <v>UN</v>
      </c>
      <c r="E418" s="73">
        <v>5</v>
      </c>
      <c r="F418" s="74"/>
      <c r="G418" s="74"/>
    </row>
    <row r="419" spans="1:7" ht="14.25">
      <c r="A419" s="16" t="s">
        <v>32</v>
      </c>
      <c r="B419" s="71" t="str">
        <f>B370</f>
        <v>CP 019E</v>
      </c>
      <c r="C419" s="66" t="str">
        <f>C370</f>
        <v>Borne a parafuso 6,0 mm</v>
      </c>
      <c r="D419" s="67" t="str">
        <f>D370</f>
        <v>UN</v>
      </c>
      <c r="E419" s="73">
        <v>5</v>
      </c>
      <c r="F419" s="74"/>
      <c r="G419" s="74"/>
    </row>
    <row r="420" spans="1:7" ht="14.25">
      <c r="A420" s="16" t="s">
        <v>32</v>
      </c>
      <c r="B420" s="71" t="str">
        <f>B377</f>
        <v>CP 019F</v>
      </c>
      <c r="C420" s="66" t="str">
        <f>C377</f>
        <v>Borne a parafuso 2,5 mm</v>
      </c>
      <c r="D420" s="67" t="str">
        <f>D377</f>
        <v>UN</v>
      </c>
      <c r="E420" s="73">
        <v>10</v>
      </c>
      <c r="F420" s="74"/>
      <c r="G420" s="74"/>
    </row>
    <row r="421" spans="1:7" ht="14.25">
      <c r="A421" s="16" t="s">
        <v>32</v>
      </c>
      <c r="B421" s="71" t="str">
        <f>B384</f>
        <v>CP 019G</v>
      </c>
      <c r="C421" s="66" t="str">
        <f>C384</f>
        <v>Contator Abb A9-30-10 24v50/60hz</v>
      </c>
      <c r="D421" s="67" t="str">
        <f>D384</f>
        <v>UN</v>
      </c>
      <c r="E421" s="73">
        <v>1</v>
      </c>
      <c r="F421" s="74"/>
      <c r="G421" s="74"/>
    </row>
    <row r="422" spans="1:7" ht="14.25">
      <c r="A422" s="16" t="s">
        <v>32</v>
      </c>
      <c r="B422" s="71" t="str">
        <f>B391</f>
        <v>CP 019H</v>
      </c>
      <c r="C422" s="66" t="str">
        <f>C391</f>
        <v>Contator Auxiliar 1NA+1NF 690V 6A</v>
      </c>
      <c r="D422" s="67" t="str">
        <f>D391</f>
        <v>UN</v>
      </c>
      <c r="E422" s="73">
        <v>2</v>
      </c>
      <c r="F422" s="74"/>
      <c r="G422" s="74"/>
    </row>
    <row r="423" spans="1:7" ht="27.75" customHeight="1">
      <c r="A423" s="16" t="s">
        <v>48</v>
      </c>
      <c r="B423" s="71" t="str">
        <f>B405</f>
        <v>CP 019J</v>
      </c>
      <c r="C423" s="66" t="str">
        <f>C405</f>
        <v>Quadro de comando metálico - 80x60x20 cm - com trilho din, isolador e canaletas</v>
      </c>
      <c r="D423" s="67" t="str">
        <f>D405</f>
        <v>UN</v>
      </c>
      <c r="E423" s="73">
        <v>2</v>
      </c>
      <c r="F423" s="74"/>
      <c r="G423" s="74"/>
    </row>
    <row r="424" spans="1:7" ht="14.25">
      <c r="A424" s="16" t="s">
        <v>630</v>
      </c>
      <c r="B424" s="71">
        <v>34709</v>
      </c>
      <c r="C424" s="66" t="s">
        <v>363</v>
      </c>
      <c r="D424" s="67" t="s">
        <v>12</v>
      </c>
      <c r="E424" s="73">
        <v>1</v>
      </c>
      <c r="F424" s="74"/>
      <c r="G424" s="74"/>
    </row>
    <row r="425" spans="1:7" ht="14.25">
      <c r="A425" s="16" t="s">
        <v>630</v>
      </c>
      <c r="B425" s="71">
        <v>34709</v>
      </c>
      <c r="C425" s="66" t="s">
        <v>360</v>
      </c>
      <c r="D425" s="67" t="s">
        <v>12</v>
      </c>
      <c r="E425" s="73">
        <v>2</v>
      </c>
      <c r="F425" s="74"/>
      <c r="G425" s="74"/>
    </row>
    <row r="426" spans="1:7" ht="14.25">
      <c r="A426" s="16" t="s">
        <v>630</v>
      </c>
      <c r="B426" s="71">
        <v>34709</v>
      </c>
      <c r="C426" s="66" t="s">
        <v>361</v>
      </c>
      <c r="D426" s="67" t="s">
        <v>12</v>
      </c>
      <c r="E426" s="73">
        <v>1</v>
      </c>
      <c r="F426" s="74"/>
      <c r="G426" s="74"/>
    </row>
    <row r="427" spans="1:7" ht="14.25">
      <c r="A427" s="16" t="s">
        <v>630</v>
      </c>
      <c r="B427" s="71">
        <v>34714</v>
      </c>
      <c r="C427" s="66" t="s">
        <v>362</v>
      </c>
      <c r="D427" s="67" t="s">
        <v>12</v>
      </c>
      <c r="E427" s="73">
        <v>1</v>
      </c>
      <c r="F427" s="74"/>
      <c r="G427" s="74"/>
    </row>
    <row r="429" spans="1:7" ht="14.25">
      <c r="A429" s="17"/>
      <c r="B429" s="17"/>
      <c r="C429" s="17" t="s">
        <v>24</v>
      </c>
      <c r="D429" s="18" t="s">
        <v>25</v>
      </c>
      <c r="E429" s="19" t="s">
        <v>47</v>
      </c>
      <c r="F429" s="18"/>
      <c r="G429" s="18"/>
    </row>
    <row r="430" spans="1:7" ht="25.5">
      <c r="A430" s="17" t="s">
        <v>35</v>
      </c>
      <c r="B430" s="20" t="s">
        <v>406</v>
      </c>
      <c r="C430" s="20" t="s">
        <v>411</v>
      </c>
      <c r="D430" s="21" t="s">
        <v>12</v>
      </c>
      <c r="E430" s="72" t="e">
        <f>AVERAGE(G432:G434)</f>
        <v>#DIV/0!</v>
      </c>
      <c r="F430" s="18"/>
      <c r="G430" s="18"/>
    </row>
    <row r="431" spans="1:7" ht="14.25">
      <c r="A431" s="17"/>
      <c r="B431" s="17" t="s">
        <v>2</v>
      </c>
      <c r="C431" s="17" t="s">
        <v>27</v>
      </c>
      <c r="D431" s="18" t="s">
        <v>25</v>
      </c>
      <c r="E431" s="19" t="s">
        <v>28</v>
      </c>
      <c r="F431" s="18" t="s">
        <v>29</v>
      </c>
      <c r="G431" s="18" t="s">
        <v>30</v>
      </c>
    </row>
    <row r="432" spans="1:7" ht="14.25">
      <c r="A432" s="17" t="s">
        <v>32</v>
      </c>
      <c r="B432" s="22" t="s">
        <v>39</v>
      </c>
      <c r="C432" s="17" t="s">
        <v>409</v>
      </c>
      <c r="D432" s="18" t="s">
        <v>12</v>
      </c>
      <c r="E432" s="23">
        <v>1</v>
      </c>
      <c r="F432" s="74"/>
      <c r="G432" s="74"/>
    </row>
    <row r="433" spans="1:7" ht="14.25">
      <c r="A433" s="17" t="s">
        <v>32</v>
      </c>
      <c r="B433" s="22" t="s">
        <v>40</v>
      </c>
      <c r="C433" s="17" t="s">
        <v>92</v>
      </c>
      <c r="D433" s="18" t="s">
        <v>12</v>
      </c>
      <c r="E433" s="23">
        <v>1</v>
      </c>
      <c r="F433" s="74"/>
      <c r="G433" s="74"/>
    </row>
    <row r="434" spans="1:7" ht="14.25">
      <c r="A434" s="17" t="s">
        <v>32</v>
      </c>
      <c r="B434" s="22">
        <v>3</v>
      </c>
      <c r="C434" s="17" t="s">
        <v>410</v>
      </c>
      <c r="D434" s="18" t="s">
        <v>12</v>
      </c>
      <c r="E434" s="23">
        <v>1</v>
      </c>
      <c r="F434" s="74"/>
      <c r="G434" s="74"/>
    </row>
    <row r="435" spans="1:7" ht="14.25">
      <c r="A435" s="25"/>
      <c r="B435" s="25"/>
      <c r="C435" s="25"/>
      <c r="D435" s="26"/>
      <c r="E435" s="27"/>
      <c r="F435" s="26"/>
      <c r="G435" s="26"/>
    </row>
    <row r="436" spans="1:7" ht="14.25">
      <c r="A436" s="17"/>
      <c r="B436" s="17"/>
      <c r="C436" s="17" t="s">
        <v>24</v>
      </c>
      <c r="D436" s="18" t="s">
        <v>25</v>
      </c>
      <c r="E436" s="19" t="s">
        <v>47</v>
      </c>
      <c r="F436" s="18"/>
      <c r="G436" s="18"/>
    </row>
    <row r="437" spans="1:7" ht="25.5">
      <c r="A437" s="17" t="s">
        <v>26</v>
      </c>
      <c r="B437" s="20" t="s">
        <v>407</v>
      </c>
      <c r="C437" s="20" t="str">
        <f>C439&amp;" - FORNECIMENTO E INSTALAÇÃO"</f>
        <v>BLOCO DE ILUMINAÇÃO AUTÔNOMO BLA 2200 - FORNECIMENTO E INSTALAÇÃO</v>
      </c>
      <c r="D437" s="21" t="s">
        <v>12</v>
      </c>
      <c r="E437" s="72">
        <f>SUM(G439:G441)</f>
        <v>0</v>
      </c>
      <c r="F437" s="18"/>
      <c r="G437" s="18"/>
    </row>
    <row r="438" spans="1:7" ht="14.25">
      <c r="A438" s="17" t="s">
        <v>157</v>
      </c>
      <c r="B438" s="22" t="s">
        <v>2</v>
      </c>
      <c r="C438" s="17" t="s">
        <v>27</v>
      </c>
      <c r="D438" s="18" t="s">
        <v>25</v>
      </c>
      <c r="E438" s="23" t="s">
        <v>28</v>
      </c>
      <c r="F438" s="74" t="s">
        <v>29</v>
      </c>
      <c r="G438" s="74" t="s">
        <v>30</v>
      </c>
    </row>
    <row r="439" spans="1:7" ht="14.25">
      <c r="A439" s="17" t="s">
        <v>32</v>
      </c>
      <c r="B439" s="22" t="str">
        <f>B430</f>
        <v>CP 020A</v>
      </c>
      <c r="C439" s="17" t="str">
        <f>C430</f>
        <v>BLOCO DE ILUMINAÇÃO AUTÔNOMO BLA 2200</v>
      </c>
      <c r="D439" s="18" t="str">
        <f>D430</f>
        <v>UN</v>
      </c>
      <c r="E439" s="23">
        <v>1</v>
      </c>
      <c r="F439" s="74"/>
      <c r="G439" s="74"/>
    </row>
    <row r="440" spans="1:7" ht="14.25">
      <c r="A440" s="16" t="s">
        <v>630</v>
      </c>
      <c r="B440" s="22" t="s">
        <v>150</v>
      </c>
      <c r="C440" s="17" t="s">
        <v>151</v>
      </c>
      <c r="D440" s="18" t="s">
        <v>17</v>
      </c>
      <c r="E440" s="23">
        <f>0.0748*3</f>
        <v>0.22440000000000002</v>
      </c>
      <c r="F440" s="74"/>
      <c r="G440" s="74"/>
    </row>
    <row r="441" spans="1:7" ht="14.25">
      <c r="A441" s="16" t="s">
        <v>630</v>
      </c>
      <c r="B441" s="22" t="s">
        <v>152</v>
      </c>
      <c r="C441" s="17" t="s">
        <v>153</v>
      </c>
      <c r="D441" s="18" t="s">
        <v>17</v>
      </c>
      <c r="E441" s="23">
        <f>0.1795*3</f>
        <v>0.5385</v>
      </c>
      <c r="F441" s="74"/>
      <c r="G441" s="74"/>
    </row>
    <row r="442" spans="1:7" ht="14.25">
      <c r="A442" s="25"/>
      <c r="B442" s="25"/>
      <c r="C442" s="25"/>
      <c r="D442" s="26"/>
      <c r="E442" s="27"/>
      <c r="F442" s="26"/>
      <c r="G442" s="26"/>
    </row>
    <row r="443" spans="1:7" ht="14.25">
      <c r="A443" s="17"/>
      <c r="B443" s="17"/>
      <c r="C443" s="17" t="s">
        <v>24</v>
      </c>
      <c r="D443" s="18" t="s">
        <v>25</v>
      </c>
      <c r="E443" s="19" t="s">
        <v>47</v>
      </c>
      <c r="F443" s="18"/>
      <c r="G443" s="18"/>
    </row>
    <row r="444" spans="1:7" ht="38.25">
      <c r="A444" s="17" t="s">
        <v>26</v>
      </c>
      <c r="B444" s="20" t="s">
        <v>408</v>
      </c>
      <c r="C444" s="20" t="s">
        <v>403</v>
      </c>
      <c r="D444" s="21" t="s">
        <v>12</v>
      </c>
      <c r="E444" s="72">
        <f>SUM(G446:G453)</f>
        <v>0</v>
      </c>
      <c r="F444" s="18"/>
      <c r="G444" s="18"/>
    </row>
    <row r="445" spans="1:7" ht="14.25">
      <c r="A445" s="17" t="s">
        <v>404</v>
      </c>
      <c r="B445" s="22" t="s">
        <v>2</v>
      </c>
      <c r="C445" s="17" t="s">
        <v>27</v>
      </c>
      <c r="D445" s="18" t="s">
        <v>25</v>
      </c>
      <c r="E445" s="23" t="s">
        <v>28</v>
      </c>
      <c r="F445" s="74" t="s">
        <v>29</v>
      </c>
      <c r="G445" s="74" t="s">
        <v>30</v>
      </c>
    </row>
    <row r="446" spans="1:7" ht="25.5">
      <c r="A446" s="16" t="s">
        <v>630</v>
      </c>
      <c r="B446" s="22">
        <v>90447</v>
      </c>
      <c r="C446" s="17" t="s">
        <v>158</v>
      </c>
      <c r="D446" s="18" t="s">
        <v>18</v>
      </c>
      <c r="E446" s="23">
        <v>2.2</v>
      </c>
      <c r="F446" s="74"/>
      <c r="G446" s="74"/>
    </row>
    <row r="447" spans="1:7" ht="25.5">
      <c r="A447" s="16" t="s">
        <v>630</v>
      </c>
      <c r="B447" s="22">
        <v>90456</v>
      </c>
      <c r="C447" s="17" t="s">
        <v>159</v>
      </c>
      <c r="D447" s="18" t="s">
        <v>12</v>
      </c>
      <c r="E447" s="23">
        <v>1</v>
      </c>
      <c r="F447" s="74"/>
      <c r="G447" s="74"/>
    </row>
    <row r="448" spans="1:7" ht="38.25">
      <c r="A448" s="16" t="s">
        <v>630</v>
      </c>
      <c r="B448" s="22">
        <v>90466</v>
      </c>
      <c r="C448" s="17" t="s">
        <v>161</v>
      </c>
      <c r="D448" s="18" t="s">
        <v>18</v>
      </c>
      <c r="E448" s="23">
        <v>2.2</v>
      </c>
      <c r="F448" s="74"/>
      <c r="G448" s="74"/>
    </row>
    <row r="449" spans="1:7" ht="38.25">
      <c r="A449" s="16" t="s">
        <v>630</v>
      </c>
      <c r="B449" s="22">
        <v>91842</v>
      </c>
      <c r="C449" s="17" t="s">
        <v>162</v>
      </c>
      <c r="D449" s="18" t="s">
        <v>18</v>
      </c>
      <c r="E449" s="23">
        <v>2</v>
      </c>
      <c r="F449" s="74"/>
      <c r="G449" s="74"/>
    </row>
    <row r="450" spans="1:7" ht="38.25">
      <c r="A450" s="16" t="s">
        <v>630</v>
      </c>
      <c r="B450" s="22">
        <v>91852</v>
      </c>
      <c r="C450" s="17" t="s">
        <v>163</v>
      </c>
      <c r="D450" s="18" t="s">
        <v>18</v>
      </c>
      <c r="E450" s="23">
        <v>2.2</v>
      </c>
      <c r="F450" s="74"/>
      <c r="G450" s="74"/>
    </row>
    <row r="451" spans="1:7" ht="38.25">
      <c r="A451" s="16" t="s">
        <v>630</v>
      </c>
      <c r="B451" s="22">
        <v>91924</v>
      </c>
      <c r="C451" s="17" t="s">
        <v>405</v>
      </c>
      <c r="D451" s="18" t="s">
        <v>18</v>
      </c>
      <c r="E451" s="23">
        <v>15</v>
      </c>
      <c r="F451" s="74"/>
      <c r="G451" s="74"/>
    </row>
    <row r="452" spans="1:7" ht="25.5">
      <c r="A452" s="16" t="s">
        <v>630</v>
      </c>
      <c r="B452" s="22">
        <v>91937</v>
      </c>
      <c r="C452" s="17" t="s">
        <v>164</v>
      </c>
      <c r="D452" s="18" t="s">
        <v>12</v>
      </c>
      <c r="E452" s="23">
        <v>0.375</v>
      </c>
      <c r="F452" s="74"/>
      <c r="G452" s="74"/>
    </row>
    <row r="453" spans="1:7" ht="38.25">
      <c r="A453" s="16" t="s">
        <v>630</v>
      </c>
      <c r="B453" s="22">
        <v>91940</v>
      </c>
      <c r="C453" s="17" t="s">
        <v>165</v>
      </c>
      <c r="D453" s="18" t="s">
        <v>12</v>
      </c>
      <c r="E453" s="23">
        <v>1</v>
      </c>
      <c r="F453" s="74"/>
      <c r="G453" s="74"/>
    </row>
    <row r="455" spans="1:7" ht="14.25">
      <c r="A455" s="17"/>
      <c r="B455" s="17"/>
      <c r="C455" s="17" t="s">
        <v>24</v>
      </c>
      <c r="D455" s="18" t="s">
        <v>25</v>
      </c>
      <c r="E455" s="19" t="s">
        <v>47</v>
      </c>
      <c r="F455" s="18"/>
      <c r="G455" s="18"/>
    </row>
    <row r="456" spans="1:7" ht="25.5">
      <c r="A456" s="17" t="s">
        <v>35</v>
      </c>
      <c r="B456" s="20" t="s">
        <v>416</v>
      </c>
      <c r="C456" s="20" t="s">
        <v>478</v>
      </c>
      <c r="D456" s="21" t="s">
        <v>12</v>
      </c>
      <c r="E456" s="72" t="e">
        <f>AVERAGE(G458:G460)</f>
        <v>#DIV/0!</v>
      </c>
      <c r="F456" s="18"/>
      <c r="G456" s="18"/>
    </row>
    <row r="457" spans="1:7" ht="14.25">
      <c r="A457" s="17"/>
      <c r="B457" s="17" t="s">
        <v>2</v>
      </c>
      <c r="C457" s="17" t="s">
        <v>27</v>
      </c>
      <c r="D457" s="18" t="s">
        <v>25</v>
      </c>
      <c r="E457" s="19" t="s">
        <v>28</v>
      </c>
      <c r="F457" s="18" t="s">
        <v>29</v>
      </c>
      <c r="G457" s="18" t="s">
        <v>30</v>
      </c>
    </row>
    <row r="458" spans="1:7" ht="14.25">
      <c r="A458" s="17" t="s">
        <v>32</v>
      </c>
      <c r="B458" s="22" t="s">
        <v>39</v>
      </c>
      <c r="C458" s="17" t="s">
        <v>426</v>
      </c>
      <c r="D458" s="18" t="s">
        <v>12</v>
      </c>
      <c r="E458" s="23">
        <v>1</v>
      </c>
      <c r="F458" s="74"/>
      <c r="G458" s="74"/>
    </row>
    <row r="459" spans="1:7" ht="14.25">
      <c r="A459" s="17" t="s">
        <v>32</v>
      </c>
      <c r="B459" s="22" t="s">
        <v>40</v>
      </c>
      <c r="C459" s="17" t="s">
        <v>273</v>
      </c>
      <c r="D459" s="18" t="s">
        <v>12</v>
      </c>
      <c r="E459" s="23">
        <v>1</v>
      </c>
      <c r="F459" s="74"/>
      <c r="G459" s="74"/>
    </row>
    <row r="460" spans="1:7" ht="14.25">
      <c r="A460" s="17" t="s">
        <v>32</v>
      </c>
      <c r="B460" s="29" t="s">
        <v>43</v>
      </c>
      <c r="C460" s="17" t="s">
        <v>480</v>
      </c>
      <c r="D460" s="18" t="s">
        <v>12</v>
      </c>
      <c r="E460" s="23">
        <v>1</v>
      </c>
      <c r="F460" s="74"/>
      <c r="G460" s="74"/>
    </row>
    <row r="461" spans="1:7" ht="14.25">
      <c r="A461" s="25"/>
      <c r="B461" s="25"/>
      <c r="C461" s="25"/>
      <c r="D461" s="26"/>
      <c r="E461" s="27"/>
      <c r="F461" s="26"/>
      <c r="G461" s="26"/>
    </row>
    <row r="462" spans="1:7" ht="14.25">
      <c r="A462" s="17"/>
      <c r="B462" s="17"/>
      <c r="C462" s="17" t="s">
        <v>24</v>
      </c>
      <c r="D462" s="18" t="s">
        <v>25</v>
      </c>
      <c r="E462" s="19" t="s">
        <v>47</v>
      </c>
      <c r="F462" s="18"/>
      <c r="G462" s="18"/>
    </row>
    <row r="463" spans="1:7" ht="25.5">
      <c r="A463" s="17" t="s">
        <v>26</v>
      </c>
      <c r="B463" s="20" t="s">
        <v>417</v>
      </c>
      <c r="C463" s="20" t="s">
        <v>479</v>
      </c>
      <c r="D463" s="21" t="s">
        <v>12</v>
      </c>
      <c r="E463" s="72">
        <f>SUM(G465:G467)</f>
        <v>0</v>
      </c>
      <c r="F463" s="18"/>
      <c r="G463" s="18"/>
    </row>
    <row r="464" spans="1:7" ht="14.25">
      <c r="A464" s="17" t="s">
        <v>413</v>
      </c>
      <c r="B464" s="22" t="s">
        <v>2</v>
      </c>
      <c r="C464" s="17" t="s">
        <v>27</v>
      </c>
      <c r="D464" s="18" t="s">
        <v>25</v>
      </c>
      <c r="E464" s="23" t="s">
        <v>28</v>
      </c>
      <c r="F464" s="74" t="s">
        <v>29</v>
      </c>
      <c r="G464" s="74" t="s">
        <v>30</v>
      </c>
    </row>
    <row r="465" spans="1:7" ht="14.25">
      <c r="A465" s="17" t="s">
        <v>32</v>
      </c>
      <c r="B465" s="22" t="str">
        <f>B456</f>
        <v>CP 022A</v>
      </c>
      <c r="C465" s="17" t="str">
        <f>C456</f>
        <v>ACIONADOR MANUAL ENDEREÇÁVEL AME 521 INTELBRAS</v>
      </c>
      <c r="D465" s="18" t="str">
        <f>D456</f>
        <v>UN</v>
      </c>
      <c r="E465" s="23">
        <v>1</v>
      </c>
      <c r="F465" s="74"/>
      <c r="G465" s="74"/>
    </row>
    <row r="466" spans="1:7" ht="14.25">
      <c r="A466" s="16" t="s">
        <v>630</v>
      </c>
      <c r="B466" s="22" t="s">
        <v>150</v>
      </c>
      <c r="C466" s="17" t="s">
        <v>151</v>
      </c>
      <c r="D466" s="18" t="s">
        <v>17</v>
      </c>
      <c r="E466" s="23">
        <f>0.2062*2</f>
        <v>0.4124</v>
      </c>
      <c r="F466" s="74"/>
      <c r="G466" s="74"/>
    </row>
    <row r="467" spans="1:7" ht="14.25">
      <c r="A467" s="16" t="s">
        <v>630</v>
      </c>
      <c r="B467" s="22" t="s">
        <v>152</v>
      </c>
      <c r="C467" s="17" t="s">
        <v>153</v>
      </c>
      <c r="D467" s="18" t="s">
        <v>17</v>
      </c>
      <c r="E467" s="23">
        <f>0.2062*2</f>
        <v>0.4124</v>
      </c>
      <c r="F467" s="74"/>
      <c r="G467" s="74"/>
    </row>
    <row r="468" spans="1:7" ht="14.25">
      <c r="A468" s="90"/>
      <c r="B468" s="91"/>
      <c r="C468" s="91"/>
      <c r="D468" s="91"/>
      <c r="E468" s="92"/>
      <c r="F468" s="24"/>
      <c r="G468" s="24"/>
    </row>
    <row r="469" spans="1:7" ht="14.25">
      <c r="A469" s="17"/>
      <c r="B469" s="17"/>
      <c r="C469" s="17" t="s">
        <v>24</v>
      </c>
      <c r="D469" s="18" t="s">
        <v>25</v>
      </c>
      <c r="E469" s="19" t="s">
        <v>47</v>
      </c>
      <c r="F469" s="18"/>
      <c r="G469" s="18"/>
    </row>
    <row r="470" spans="1:7" ht="25.5">
      <c r="A470" s="17" t="s">
        <v>35</v>
      </c>
      <c r="B470" s="20" t="s">
        <v>418</v>
      </c>
      <c r="C470" s="20" t="s">
        <v>422</v>
      </c>
      <c r="D470" s="21" t="s">
        <v>18</v>
      </c>
      <c r="E470" s="72">
        <f>AVERAGE(G472:G474)</f>
        <v>7.239999999999999</v>
      </c>
      <c r="F470" s="18"/>
      <c r="G470" s="18"/>
    </row>
    <row r="471" spans="1:7" ht="14.25">
      <c r="A471" s="17"/>
      <c r="B471" s="17" t="s">
        <v>2</v>
      </c>
      <c r="C471" s="17" t="s">
        <v>27</v>
      </c>
      <c r="D471" s="18" t="s">
        <v>25</v>
      </c>
      <c r="E471" s="19" t="s">
        <v>28</v>
      </c>
      <c r="F471" s="18" t="s">
        <v>29</v>
      </c>
      <c r="G471" s="18" t="s">
        <v>30</v>
      </c>
    </row>
    <row r="472" spans="1:7" ht="14.25">
      <c r="A472" s="17" t="s">
        <v>32</v>
      </c>
      <c r="B472" s="22" t="s">
        <v>39</v>
      </c>
      <c r="C472" s="17" t="s">
        <v>420</v>
      </c>
      <c r="D472" s="18" t="s">
        <v>18</v>
      </c>
      <c r="E472" s="23">
        <v>1</v>
      </c>
      <c r="F472" s="74">
        <v>6.08</v>
      </c>
      <c r="G472" s="74">
        <f>E472*F472</f>
        <v>6.08</v>
      </c>
    </row>
    <row r="473" spans="1:7" ht="14.25">
      <c r="A473" s="17" t="s">
        <v>32</v>
      </c>
      <c r="B473" s="22" t="s">
        <v>40</v>
      </c>
      <c r="C473" s="17" t="s">
        <v>421</v>
      </c>
      <c r="D473" s="18" t="s">
        <v>18</v>
      </c>
      <c r="E473" s="23">
        <v>1</v>
      </c>
      <c r="F473" s="74">
        <v>6.88</v>
      </c>
      <c r="G473" s="74">
        <f>E473*F473</f>
        <v>6.88</v>
      </c>
    </row>
    <row r="474" spans="1:7" ht="14.25">
      <c r="A474" s="17" t="s">
        <v>32</v>
      </c>
      <c r="B474" s="29" t="s">
        <v>43</v>
      </c>
      <c r="C474" s="17" t="s">
        <v>423</v>
      </c>
      <c r="D474" s="18" t="s">
        <v>18</v>
      </c>
      <c r="E474" s="23">
        <v>1</v>
      </c>
      <c r="F474" s="74">
        <v>8.76</v>
      </c>
      <c r="G474" s="74">
        <f>E474*F474</f>
        <v>8.76</v>
      </c>
    </row>
    <row r="475" spans="1:7" ht="14.25">
      <c r="A475" s="25"/>
      <c r="B475" s="25"/>
      <c r="C475" s="25"/>
      <c r="D475" s="26"/>
      <c r="E475" s="27"/>
      <c r="F475" s="26"/>
      <c r="G475" s="26"/>
    </row>
    <row r="476" spans="1:7" ht="14.25">
      <c r="A476" s="17"/>
      <c r="B476" s="17"/>
      <c r="C476" s="17" t="s">
        <v>24</v>
      </c>
      <c r="D476" s="18" t="s">
        <v>25</v>
      </c>
      <c r="E476" s="19" t="s">
        <v>47</v>
      </c>
      <c r="F476" s="18"/>
      <c r="G476" s="18"/>
    </row>
    <row r="477" spans="1:7" ht="25.5">
      <c r="A477" s="17" t="s">
        <v>26</v>
      </c>
      <c r="B477" s="20" t="s">
        <v>419</v>
      </c>
      <c r="C477" s="20" t="s">
        <v>412</v>
      </c>
      <c r="D477" s="21" t="s">
        <v>18</v>
      </c>
      <c r="E477" s="72">
        <f>SUM(G479:G481)</f>
        <v>0</v>
      </c>
      <c r="F477" s="18"/>
      <c r="G477" s="18"/>
    </row>
    <row r="478" spans="1:7" ht="14.25">
      <c r="A478" s="17" t="s">
        <v>414</v>
      </c>
      <c r="B478" s="22" t="s">
        <v>2</v>
      </c>
      <c r="C478" s="17" t="s">
        <v>27</v>
      </c>
      <c r="D478" s="18" t="s">
        <v>25</v>
      </c>
      <c r="E478" s="23" t="s">
        <v>28</v>
      </c>
      <c r="F478" s="74" t="s">
        <v>29</v>
      </c>
      <c r="G478" s="74" t="s">
        <v>30</v>
      </c>
    </row>
    <row r="479" spans="1:7" ht="14.25">
      <c r="A479" s="17" t="s">
        <v>32</v>
      </c>
      <c r="B479" s="22" t="str">
        <f>B470</f>
        <v>CP 023A</v>
      </c>
      <c r="C479" s="17" t="str">
        <f>C470</f>
        <v>CABO BLINDADO PARA INCÊNDIO DUAS VIAS 1,50MM²</v>
      </c>
      <c r="D479" s="18" t="str">
        <f>D470</f>
        <v>M</v>
      </c>
      <c r="E479" s="23">
        <v>1</v>
      </c>
      <c r="F479" s="74"/>
      <c r="G479" s="74"/>
    </row>
    <row r="480" spans="1:7" ht="14.25">
      <c r="A480" s="16" t="s">
        <v>630</v>
      </c>
      <c r="B480" s="22">
        <v>88247</v>
      </c>
      <c r="C480" s="17" t="s">
        <v>151</v>
      </c>
      <c r="D480" s="18" t="s">
        <v>17</v>
      </c>
      <c r="E480" s="23">
        <f>0.0045*2</f>
        <v>0.009</v>
      </c>
      <c r="F480" s="74"/>
      <c r="G480" s="74"/>
    </row>
    <row r="481" spans="1:7" ht="14.25">
      <c r="A481" s="16" t="s">
        <v>630</v>
      </c>
      <c r="B481" s="22" t="s">
        <v>152</v>
      </c>
      <c r="C481" s="17" t="s">
        <v>153</v>
      </c>
      <c r="D481" s="18" t="s">
        <v>17</v>
      </c>
      <c r="E481" s="23">
        <f>E480</f>
        <v>0.009</v>
      </c>
      <c r="F481" s="74"/>
      <c r="G481" s="74"/>
    </row>
    <row r="482" spans="1:7" ht="14.25">
      <c r="A482" s="90"/>
      <c r="B482" s="91"/>
      <c r="C482" s="91"/>
      <c r="D482" s="91"/>
      <c r="E482" s="92"/>
      <c r="F482" s="24"/>
      <c r="G482" s="24"/>
    </row>
    <row r="483" spans="1:7" ht="14.25">
      <c r="A483" s="17"/>
      <c r="B483" s="17"/>
      <c r="C483" s="17" t="s">
        <v>24</v>
      </c>
      <c r="D483" s="18" t="s">
        <v>25</v>
      </c>
      <c r="E483" s="19" t="s">
        <v>47</v>
      </c>
      <c r="F483" s="18"/>
      <c r="G483" s="18"/>
    </row>
    <row r="484" spans="1:7" ht="25.5">
      <c r="A484" s="17" t="s">
        <v>35</v>
      </c>
      <c r="B484" s="20" t="s">
        <v>427</v>
      </c>
      <c r="C484" s="20" t="s">
        <v>424</v>
      </c>
      <c r="D484" s="21" t="s">
        <v>12</v>
      </c>
      <c r="E484" s="72" t="e">
        <f>AVERAGE(G486:G488)</f>
        <v>#DIV/0!</v>
      </c>
      <c r="F484" s="18"/>
      <c r="G484" s="18"/>
    </row>
    <row r="485" spans="1:7" ht="14.25">
      <c r="A485" s="17"/>
      <c r="B485" s="17" t="s">
        <v>2</v>
      </c>
      <c r="C485" s="17" t="s">
        <v>27</v>
      </c>
      <c r="D485" s="18" t="s">
        <v>25</v>
      </c>
      <c r="E485" s="19" t="s">
        <v>28</v>
      </c>
      <c r="F485" s="18" t="s">
        <v>29</v>
      </c>
      <c r="G485" s="18" t="s">
        <v>30</v>
      </c>
    </row>
    <row r="486" spans="1:7" ht="14.25">
      <c r="A486" s="17" t="s">
        <v>32</v>
      </c>
      <c r="B486" s="22" t="s">
        <v>39</v>
      </c>
      <c r="C486" s="17" t="s">
        <v>426</v>
      </c>
      <c r="D486" s="18" t="s">
        <v>12</v>
      </c>
      <c r="E486" s="23">
        <v>1</v>
      </c>
      <c r="F486" s="74"/>
      <c r="G486" s="74"/>
    </row>
    <row r="487" spans="1:7" ht="18.75" customHeight="1">
      <c r="A487" s="17" t="s">
        <v>32</v>
      </c>
      <c r="B487" s="29" t="s">
        <v>40</v>
      </c>
      <c r="C487" s="17" t="s">
        <v>425</v>
      </c>
      <c r="D487" s="18" t="s">
        <v>12</v>
      </c>
      <c r="E487" s="23">
        <v>1</v>
      </c>
      <c r="F487" s="74"/>
      <c r="G487" s="74"/>
    </row>
    <row r="488" spans="1:7" ht="14.25">
      <c r="A488" s="17" t="s">
        <v>32</v>
      </c>
      <c r="B488" s="29" t="s">
        <v>43</v>
      </c>
      <c r="C488" s="17" t="s">
        <v>420</v>
      </c>
      <c r="D488" s="18" t="s">
        <v>12</v>
      </c>
      <c r="E488" s="23">
        <v>1</v>
      </c>
      <c r="F488" s="74"/>
      <c r="G488" s="74"/>
    </row>
    <row r="489" spans="1:7" ht="14.25">
      <c r="A489" s="90"/>
      <c r="B489" s="91"/>
      <c r="C489" s="91"/>
      <c r="D489" s="91"/>
      <c r="E489" s="92"/>
      <c r="F489" s="24"/>
      <c r="G489" s="24"/>
    </row>
    <row r="490" spans="1:7" ht="14.25">
      <c r="A490" s="17"/>
      <c r="B490" s="17"/>
      <c r="C490" s="17" t="s">
        <v>24</v>
      </c>
      <c r="D490" s="18" t="s">
        <v>25</v>
      </c>
      <c r="E490" s="19" t="s">
        <v>47</v>
      </c>
      <c r="F490" s="18"/>
      <c r="G490" s="18"/>
    </row>
    <row r="491" spans="1:7" ht="25.5">
      <c r="A491" s="17" t="s">
        <v>26</v>
      </c>
      <c r="B491" s="20" t="s">
        <v>428</v>
      </c>
      <c r="C491" s="20" t="s">
        <v>430</v>
      </c>
      <c r="D491" s="21" t="s">
        <v>12</v>
      </c>
      <c r="E491" s="72">
        <f>SUM(G493:G495)</f>
        <v>0</v>
      </c>
      <c r="F491" s="18"/>
      <c r="G491" s="18"/>
    </row>
    <row r="492" spans="1:7" ht="14.25">
      <c r="A492" s="17" t="s">
        <v>415</v>
      </c>
      <c r="B492" s="22" t="s">
        <v>2</v>
      </c>
      <c r="C492" s="17" t="s">
        <v>27</v>
      </c>
      <c r="D492" s="18" t="s">
        <v>25</v>
      </c>
      <c r="E492" s="23" t="s">
        <v>28</v>
      </c>
      <c r="F492" s="74" t="s">
        <v>29</v>
      </c>
      <c r="G492" s="74" t="s">
        <v>30</v>
      </c>
    </row>
    <row r="493" spans="1:7" ht="25.5">
      <c r="A493" s="17" t="s">
        <v>32</v>
      </c>
      <c r="B493" s="22" t="str">
        <f>B484</f>
        <v>CP 024A</v>
      </c>
      <c r="C493" s="17" t="str">
        <f>C484</f>
        <v>CENTRAL ALARME DE INCÊNDIO ENDEREÇÁVEL CIE 1125 INTELBRAS</v>
      </c>
      <c r="D493" s="18" t="str">
        <f>D484</f>
        <v>UN</v>
      </c>
      <c r="E493" s="23">
        <v>1</v>
      </c>
      <c r="F493" s="74"/>
      <c r="G493" s="74"/>
    </row>
    <row r="494" spans="1:7" ht="14.25">
      <c r="A494" s="16" t="s">
        <v>630</v>
      </c>
      <c r="B494" s="22" t="s">
        <v>150</v>
      </c>
      <c r="C494" s="17" t="s">
        <v>151</v>
      </c>
      <c r="D494" s="18" t="s">
        <v>17</v>
      </c>
      <c r="E494" s="23">
        <f>6.2007*2</f>
        <v>12.4014</v>
      </c>
      <c r="F494" s="74"/>
      <c r="G494" s="74"/>
    </row>
    <row r="495" spans="1:7" ht="14.25">
      <c r="A495" s="16" t="s">
        <v>630</v>
      </c>
      <c r="B495" s="22" t="s">
        <v>152</v>
      </c>
      <c r="C495" s="17" t="s">
        <v>153</v>
      </c>
      <c r="D495" s="18" t="s">
        <v>17</v>
      </c>
      <c r="E495" s="23">
        <f>E494</f>
        <v>12.4014</v>
      </c>
      <c r="F495" s="74"/>
      <c r="G495" s="74"/>
    </row>
    <row r="496" spans="1:7" ht="14.25">
      <c r="A496" s="90"/>
      <c r="B496" s="91"/>
      <c r="C496" s="91"/>
      <c r="D496" s="91"/>
      <c r="E496" s="92"/>
      <c r="F496" s="24"/>
      <c r="G496" s="24"/>
    </row>
    <row r="497" spans="1:7" ht="14.25">
      <c r="A497" s="17"/>
      <c r="B497" s="17"/>
      <c r="C497" s="17" t="s">
        <v>24</v>
      </c>
      <c r="D497" s="18" t="s">
        <v>25</v>
      </c>
      <c r="E497" s="19" t="s">
        <v>47</v>
      </c>
      <c r="F497" s="18"/>
      <c r="G497" s="18"/>
    </row>
    <row r="498" spans="1:7" ht="25.5">
      <c r="A498" s="17" t="s">
        <v>35</v>
      </c>
      <c r="B498" s="20" t="s">
        <v>429</v>
      </c>
      <c r="C498" s="20" t="s">
        <v>431</v>
      </c>
      <c r="D498" s="21" t="s">
        <v>12</v>
      </c>
      <c r="E498" s="72" t="e">
        <f>AVERAGE(G500:G502)</f>
        <v>#DIV/0!</v>
      </c>
      <c r="F498" s="18"/>
      <c r="G498" s="18"/>
    </row>
    <row r="499" spans="1:7" ht="14.25">
      <c r="A499" s="17"/>
      <c r="B499" s="17" t="s">
        <v>2</v>
      </c>
      <c r="C499" s="17" t="s">
        <v>27</v>
      </c>
      <c r="D499" s="18" t="s">
        <v>25</v>
      </c>
      <c r="E499" s="19" t="s">
        <v>28</v>
      </c>
      <c r="F499" s="18" t="s">
        <v>29</v>
      </c>
      <c r="G499" s="18" t="s">
        <v>30</v>
      </c>
    </row>
    <row r="500" spans="1:7" ht="14.25">
      <c r="A500" s="17" t="s">
        <v>32</v>
      </c>
      <c r="B500" s="22" t="s">
        <v>39</v>
      </c>
      <c r="C500" s="17" t="s">
        <v>423</v>
      </c>
      <c r="D500" s="18" t="s">
        <v>12</v>
      </c>
      <c r="E500" s="23">
        <v>1</v>
      </c>
      <c r="F500" s="74"/>
      <c r="G500" s="74"/>
    </row>
    <row r="501" spans="1:7" ht="14.25">
      <c r="A501" s="17" t="s">
        <v>32</v>
      </c>
      <c r="B501" s="29" t="s">
        <v>40</v>
      </c>
      <c r="C501" s="17" t="s">
        <v>273</v>
      </c>
      <c r="D501" s="18" t="s">
        <v>12</v>
      </c>
      <c r="E501" s="23">
        <v>1</v>
      </c>
      <c r="F501" s="74"/>
      <c r="G501" s="74"/>
    </row>
    <row r="502" spans="1:7" ht="14.25">
      <c r="A502" s="17" t="s">
        <v>32</v>
      </c>
      <c r="B502" s="29" t="s">
        <v>43</v>
      </c>
      <c r="C502" s="17" t="s">
        <v>137</v>
      </c>
      <c r="D502" s="18" t="s">
        <v>12</v>
      </c>
      <c r="E502" s="23">
        <v>1</v>
      </c>
      <c r="F502" s="74"/>
      <c r="G502" s="74"/>
    </row>
    <row r="503" spans="1:7" ht="14.25">
      <c r="A503" s="25"/>
      <c r="B503" s="25"/>
      <c r="C503" s="25"/>
      <c r="D503" s="26"/>
      <c r="E503" s="27"/>
      <c r="F503" s="26"/>
      <c r="G503" s="26"/>
    </row>
    <row r="504" spans="1:7" ht="14.25">
      <c r="A504" s="17"/>
      <c r="B504" s="17"/>
      <c r="C504" s="17" t="s">
        <v>24</v>
      </c>
      <c r="D504" s="18" t="s">
        <v>25</v>
      </c>
      <c r="E504" s="19" t="s">
        <v>47</v>
      </c>
      <c r="F504" s="18"/>
      <c r="G504" s="18"/>
    </row>
    <row r="505" spans="1:7" ht="25.5">
      <c r="A505" s="17" t="s">
        <v>26</v>
      </c>
      <c r="B505" s="20" t="s">
        <v>432</v>
      </c>
      <c r="C505" s="20" t="str">
        <f>C507&amp;" - FORNECIMENTO E INSTALAÇÃO"</f>
        <v>SIRENE AUDIO VISUAL PARA ALARME DE INCENDIO INTELBRAS - FORNECIMENTO E INSTALAÇÃO</v>
      </c>
      <c r="D505" s="21" t="s">
        <v>12</v>
      </c>
      <c r="E505" s="72">
        <f>SUM(G507:G509)</f>
        <v>0</v>
      </c>
      <c r="F505" s="18"/>
      <c r="G505" s="18"/>
    </row>
    <row r="506" spans="1:7" ht="14.25">
      <c r="A506" s="17" t="s">
        <v>413</v>
      </c>
      <c r="B506" s="22" t="s">
        <v>2</v>
      </c>
      <c r="C506" s="17" t="s">
        <v>27</v>
      </c>
      <c r="D506" s="18" t="s">
        <v>25</v>
      </c>
      <c r="E506" s="23" t="s">
        <v>28</v>
      </c>
      <c r="F506" s="74" t="s">
        <v>29</v>
      </c>
      <c r="G506" s="74" t="s">
        <v>30</v>
      </c>
    </row>
    <row r="507" spans="1:7" ht="14.25">
      <c r="A507" s="17" t="s">
        <v>32</v>
      </c>
      <c r="B507" s="22" t="str">
        <f>B498</f>
        <v>CP 025A</v>
      </c>
      <c r="C507" s="17" t="str">
        <f>C498</f>
        <v>SIRENE AUDIO VISUAL PARA ALARME DE INCENDIO INTELBRAS</v>
      </c>
      <c r="D507" s="18" t="str">
        <f>D498</f>
        <v>UN</v>
      </c>
      <c r="E507" s="23">
        <v>1</v>
      </c>
      <c r="F507" s="74"/>
      <c r="G507" s="74"/>
    </row>
    <row r="508" spans="1:7" ht="14.25">
      <c r="A508" s="16" t="s">
        <v>630</v>
      </c>
      <c r="B508" s="22" t="s">
        <v>150</v>
      </c>
      <c r="C508" s="17" t="s">
        <v>151</v>
      </c>
      <c r="D508" s="18" t="s">
        <v>17</v>
      </c>
      <c r="E508" s="23">
        <f>0.2062*2</f>
        <v>0.4124</v>
      </c>
      <c r="F508" s="74"/>
      <c r="G508" s="74"/>
    </row>
    <row r="509" spans="1:7" ht="14.25">
      <c r="A509" s="16" t="s">
        <v>630</v>
      </c>
      <c r="B509" s="22" t="s">
        <v>152</v>
      </c>
      <c r="C509" s="17" t="s">
        <v>153</v>
      </c>
      <c r="D509" s="18" t="s">
        <v>17</v>
      </c>
      <c r="E509" s="23">
        <f>0.2062*2</f>
        <v>0.4124</v>
      </c>
      <c r="F509" s="74"/>
      <c r="G509" s="74"/>
    </row>
    <row r="511" spans="1:7" ht="14.25">
      <c r="A511" s="17"/>
      <c r="B511" s="17"/>
      <c r="C511" s="17" t="s">
        <v>24</v>
      </c>
      <c r="D511" s="18" t="s">
        <v>25</v>
      </c>
      <c r="E511" s="19" t="s">
        <v>47</v>
      </c>
      <c r="F511" s="18"/>
      <c r="G511" s="18"/>
    </row>
    <row r="512" spans="1:7" ht="25.5">
      <c r="A512" s="17" t="s">
        <v>26</v>
      </c>
      <c r="B512" s="20" t="s">
        <v>459</v>
      </c>
      <c r="C512" s="20" t="s">
        <v>117</v>
      </c>
      <c r="D512" s="21" t="s">
        <v>12</v>
      </c>
      <c r="E512" s="72">
        <f>SUM(G514:G525)</f>
        <v>0</v>
      </c>
      <c r="F512" s="18"/>
      <c r="G512" s="18"/>
    </row>
    <row r="513" spans="1:7" ht="14.25">
      <c r="A513" s="17" t="s">
        <v>119</v>
      </c>
      <c r="B513" s="22" t="s">
        <v>2</v>
      </c>
      <c r="C513" s="17" t="s">
        <v>27</v>
      </c>
      <c r="D513" s="18" t="s">
        <v>25</v>
      </c>
      <c r="E513" s="23" t="s">
        <v>28</v>
      </c>
      <c r="F513" s="74" t="s">
        <v>29</v>
      </c>
      <c r="G513" s="74" t="s">
        <v>30</v>
      </c>
    </row>
    <row r="514" spans="1:7" ht="14.25">
      <c r="A514" s="16" t="s">
        <v>630</v>
      </c>
      <c r="B514" s="22">
        <v>34449</v>
      </c>
      <c r="C514" s="17" t="s">
        <v>636</v>
      </c>
      <c r="D514" s="18" t="s">
        <v>31</v>
      </c>
      <c r="E514" s="23">
        <v>3.78</v>
      </c>
      <c r="F514" s="74"/>
      <c r="G514" s="74"/>
    </row>
    <row r="515" spans="1:7" ht="25.5">
      <c r="A515" s="16" t="s">
        <v>630</v>
      </c>
      <c r="B515" s="22">
        <v>43132</v>
      </c>
      <c r="C515" s="17" t="s">
        <v>120</v>
      </c>
      <c r="D515" s="18" t="s">
        <v>31</v>
      </c>
      <c r="E515" s="23">
        <v>0.011</v>
      </c>
      <c r="F515" s="74"/>
      <c r="G515" s="74"/>
    </row>
    <row r="516" spans="1:7" ht="51">
      <c r="A516" s="16" t="s">
        <v>630</v>
      </c>
      <c r="B516" s="22">
        <v>103316</v>
      </c>
      <c r="C516" s="17" t="s">
        <v>121</v>
      </c>
      <c r="D516" s="18" t="s">
        <v>90</v>
      </c>
      <c r="E516" s="23">
        <f>(0.6+0.4)*2*0.6</f>
        <v>1.2</v>
      </c>
      <c r="F516" s="74"/>
      <c r="G516" s="74"/>
    </row>
    <row r="517" spans="1:7" ht="63.75">
      <c r="A517" s="16" t="s">
        <v>630</v>
      </c>
      <c r="B517" s="22">
        <v>87545</v>
      </c>
      <c r="C517" s="17" t="s">
        <v>122</v>
      </c>
      <c r="D517" s="18" t="s">
        <v>90</v>
      </c>
      <c r="E517" s="23">
        <v>0.95</v>
      </c>
      <c r="F517" s="74"/>
      <c r="G517" s="74"/>
    </row>
    <row r="518" spans="1:7" ht="38.25">
      <c r="A518" s="16" t="s">
        <v>630</v>
      </c>
      <c r="B518" s="22">
        <v>87879</v>
      </c>
      <c r="C518" s="17" t="s">
        <v>123</v>
      </c>
      <c r="D518" s="18" t="s">
        <v>90</v>
      </c>
      <c r="E518" s="23">
        <v>0.95</v>
      </c>
      <c r="F518" s="74"/>
      <c r="G518" s="74"/>
    </row>
    <row r="519" spans="1:7" ht="14.25">
      <c r="A519" s="16" t="s">
        <v>630</v>
      </c>
      <c r="B519" s="22">
        <v>88245</v>
      </c>
      <c r="C519" s="17" t="s">
        <v>105</v>
      </c>
      <c r="D519" s="18" t="s">
        <v>17</v>
      </c>
      <c r="E519" s="23">
        <v>1</v>
      </c>
      <c r="F519" s="74"/>
      <c r="G519" s="74"/>
    </row>
    <row r="520" spans="1:7" ht="14.25">
      <c r="A520" s="16" t="s">
        <v>630</v>
      </c>
      <c r="B520" s="22" t="s">
        <v>124</v>
      </c>
      <c r="C520" s="17" t="s">
        <v>100</v>
      </c>
      <c r="D520" s="18" t="s">
        <v>17</v>
      </c>
      <c r="E520" s="23">
        <v>8</v>
      </c>
      <c r="F520" s="74"/>
      <c r="G520" s="74"/>
    </row>
    <row r="521" spans="1:7" ht="14.25">
      <c r="A521" s="16" t="s">
        <v>630</v>
      </c>
      <c r="B521" s="22" t="s">
        <v>125</v>
      </c>
      <c r="C521" s="17" t="s">
        <v>67</v>
      </c>
      <c r="D521" s="18" t="s">
        <v>17</v>
      </c>
      <c r="E521" s="23">
        <v>8</v>
      </c>
      <c r="F521" s="74"/>
      <c r="G521" s="74"/>
    </row>
    <row r="522" spans="1:7" ht="51">
      <c r="A522" s="16" t="s">
        <v>630</v>
      </c>
      <c r="B522" s="22">
        <v>92411</v>
      </c>
      <c r="C522" s="17" t="s">
        <v>126</v>
      </c>
      <c r="D522" s="18" t="s">
        <v>90</v>
      </c>
      <c r="E522" s="23">
        <v>0.14</v>
      </c>
      <c r="F522" s="74"/>
      <c r="G522" s="74"/>
    </row>
    <row r="523" spans="1:7" ht="25.5">
      <c r="A523" s="16" t="s">
        <v>630</v>
      </c>
      <c r="B523" s="22">
        <v>96624</v>
      </c>
      <c r="C523" s="17" t="s">
        <v>127</v>
      </c>
      <c r="D523" s="18" t="s">
        <v>102</v>
      </c>
      <c r="E523" s="23">
        <f>0.6*0.6*0.15*1.5</f>
        <v>0.081</v>
      </c>
      <c r="F523" s="74"/>
      <c r="G523" s="74"/>
    </row>
    <row r="524" spans="1:7" ht="38.25">
      <c r="A524" s="16" t="s">
        <v>630</v>
      </c>
      <c r="B524" s="22">
        <v>94969</v>
      </c>
      <c r="C524" s="17" t="s">
        <v>458</v>
      </c>
      <c r="D524" s="18" t="s">
        <v>102</v>
      </c>
      <c r="E524" s="23">
        <v>0.022</v>
      </c>
      <c r="F524" s="74"/>
      <c r="G524" s="74"/>
    </row>
    <row r="525" spans="1:7" ht="38.25">
      <c r="A525" s="16" t="s">
        <v>630</v>
      </c>
      <c r="B525" s="22" t="s">
        <v>128</v>
      </c>
      <c r="C525" s="17" t="s">
        <v>129</v>
      </c>
      <c r="D525" s="18" t="s">
        <v>102</v>
      </c>
      <c r="E525" s="23">
        <v>0.046</v>
      </c>
      <c r="F525" s="74"/>
      <c r="G525" s="74"/>
    </row>
    <row r="527" spans="1:7" ht="14.25">
      <c r="A527" s="17"/>
      <c r="B527" s="17"/>
      <c r="C527" s="17" t="s">
        <v>24</v>
      </c>
      <c r="D527" s="18" t="s">
        <v>25</v>
      </c>
      <c r="E527" s="19" t="s">
        <v>47</v>
      </c>
      <c r="F527" s="18"/>
      <c r="G527" s="18"/>
    </row>
    <row r="528" spans="1:7" ht="25.5">
      <c r="A528" s="17" t="s">
        <v>35</v>
      </c>
      <c r="B528" s="20" t="s">
        <v>460</v>
      </c>
      <c r="C528" s="20" t="s">
        <v>130</v>
      </c>
      <c r="D528" s="21" t="s">
        <v>12</v>
      </c>
      <c r="E528" s="72" t="e">
        <f>AVERAGE(G530:G531)</f>
        <v>#DIV/0!</v>
      </c>
      <c r="F528" s="18"/>
      <c r="G528" s="18"/>
    </row>
    <row r="529" spans="1:7" ht="14.25">
      <c r="A529" s="17"/>
      <c r="B529" s="17" t="s">
        <v>2</v>
      </c>
      <c r="C529" s="17" t="s">
        <v>27</v>
      </c>
      <c r="D529" s="18" t="s">
        <v>25</v>
      </c>
      <c r="E529" s="19" t="s">
        <v>28</v>
      </c>
      <c r="F529" s="18" t="s">
        <v>29</v>
      </c>
      <c r="G529" s="18" t="s">
        <v>30</v>
      </c>
    </row>
    <row r="530" spans="1:7" ht="14.25">
      <c r="A530" s="17" t="s">
        <v>32</v>
      </c>
      <c r="B530" s="22" t="s">
        <v>39</v>
      </c>
      <c r="C530" s="17" t="s">
        <v>131</v>
      </c>
      <c r="D530" s="18" t="s">
        <v>12</v>
      </c>
      <c r="E530" s="23">
        <v>1</v>
      </c>
      <c r="F530" s="74"/>
      <c r="G530" s="74"/>
    </row>
    <row r="531" spans="1:7" ht="14.25">
      <c r="A531" s="17" t="s">
        <v>32</v>
      </c>
      <c r="B531" s="22" t="s">
        <v>40</v>
      </c>
      <c r="C531" s="17" t="s">
        <v>132</v>
      </c>
      <c r="D531" s="18" t="s">
        <v>12</v>
      </c>
      <c r="E531" s="23">
        <v>1</v>
      </c>
      <c r="F531" s="74"/>
      <c r="G531" s="74"/>
    </row>
    <row r="532" spans="1:7" ht="14.25">
      <c r="A532" s="25"/>
      <c r="B532" s="25"/>
      <c r="C532" s="25"/>
      <c r="D532" s="26"/>
      <c r="E532" s="27"/>
      <c r="F532" s="26"/>
      <c r="G532" s="26"/>
    </row>
    <row r="533" spans="1:7" ht="14.25">
      <c r="A533" s="17"/>
      <c r="B533" s="17"/>
      <c r="C533" s="17" t="s">
        <v>24</v>
      </c>
      <c r="D533" s="18" t="s">
        <v>25</v>
      </c>
      <c r="E533" s="19" t="s">
        <v>47</v>
      </c>
      <c r="F533" s="18"/>
      <c r="G533" s="18"/>
    </row>
    <row r="534" spans="1:7" ht="25.5">
      <c r="A534" s="17" t="s">
        <v>26</v>
      </c>
      <c r="B534" s="20" t="s">
        <v>461</v>
      </c>
      <c r="C534" s="20" t="str">
        <f>C536&amp;" - FORNECIMENTO E INSTALAÇÃO"</f>
        <v>TAMPA HIDRANTE DE RECALQUE 60X40CM FERRO FUNDIDO - FORNECIMENTO E INSTALAÇÃO</v>
      </c>
      <c r="D534" s="21" t="s">
        <v>12</v>
      </c>
      <c r="E534" s="72">
        <f>SUM(G536:G539)</f>
        <v>0</v>
      </c>
      <c r="F534" s="18"/>
      <c r="G534" s="18"/>
    </row>
    <row r="535" spans="1:7" ht="14.25">
      <c r="A535" s="17" t="s">
        <v>133</v>
      </c>
      <c r="B535" s="22" t="s">
        <v>2</v>
      </c>
      <c r="C535" s="17" t="s">
        <v>27</v>
      </c>
      <c r="D535" s="18" t="s">
        <v>25</v>
      </c>
      <c r="E535" s="23" t="s">
        <v>28</v>
      </c>
      <c r="F535" s="74" t="s">
        <v>29</v>
      </c>
      <c r="G535" s="74" t="s">
        <v>30</v>
      </c>
    </row>
    <row r="536" spans="1:7" ht="14.25">
      <c r="A536" s="17" t="s">
        <v>32</v>
      </c>
      <c r="B536" s="22" t="str">
        <f>B528</f>
        <v>CP 027A</v>
      </c>
      <c r="C536" s="17" t="str">
        <f>C528</f>
        <v>TAMPA HIDRANTE DE RECALQUE 60X40CM FERRO FUNDIDO</v>
      </c>
      <c r="D536" s="18" t="str">
        <f>D528</f>
        <v>UN</v>
      </c>
      <c r="E536" s="23">
        <v>1</v>
      </c>
      <c r="F536" s="74"/>
      <c r="G536" s="74"/>
    </row>
    <row r="537" spans="1:7" ht="14.25">
      <c r="A537" s="16" t="s">
        <v>630</v>
      </c>
      <c r="B537" s="22">
        <v>3148</v>
      </c>
      <c r="C537" s="17" t="s">
        <v>134</v>
      </c>
      <c r="D537" s="18" t="s">
        <v>12</v>
      </c>
      <c r="E537" s="23">
        <v>0.028</v>
      </c>
      <c r="F537" s="74"/>
      <c r="G537" s="74"/>
    </row>
    <row r="538" spans="1:7" ht="14.25">
      <c r="A538" s="16" t="s">
        <v>630</v>
      </c>
      <c r="B538" s="22" t="s">
        <v>124</v>
      </c>
      <c r="C538" s="17" t="s">
        <v>100</v>
      </c>
      <c r="D538" s="18" t="s">
        <v>17</v>
      </c>
      <c r="E538" s="23">
        <v>2</v>
      </c>
      <c r="F538" s="74"/>
      <c r="G538" s="74"/>
    </row>
    <row r="539" spans="1:7" ht="14.25">
      <c r="A539" s="16" t="s">
        <v>630</v>
      </c>
      <c r="B539" s="22" t="s">
        <v>125</v>
      </c>
      <c r="C539" s="17" t="s">
        <v>67</v>
      </c>
      <c r="D539" s="18" t="s">
        <v>17</v>
      </c>
      <c r="E539" s="23">
        <v>2</v>
      </c>
      <c r="F539" s="74"/>
      <c r="G539" s="74"/>
    </row>
    <row r="541" spans="1:7" ht="14.25">
      <c r="A541" s="17"/>
      <c r="B541" s="17"/>
      <c r="C541" s="17" t="s">
        <v>24</v>
      </c>
      <c r="D541" s="18" t="s">
        <v>25</v>
      </c>
      <c r="E541" s="19" t="s">
        <v>47</v>
      </c>
      <c r="F541" s="18"/>
      <c r="G541" s="18"/>
    </row>
    <row r="542" spans="1:7" ht="25.5">
      <c r="A542" s="17" t="s">
        <v>26</v>
      </c>
      <c r="B542" s="20" t="s">
        <v>462</v>
      </c>
      <c r="C542" s="20" t="s">
        <v>169</v>
      </c>
      <c r="D542" s="21" t="s">
        <v>12</v>
      </c>
      <c r="E542" s="72">
        <f>SUM(G544:G547)</f>
        <v>0</v>
      </c>
      <c r="F542" s="18"/>
      <c r="G542" s="18"/>
    </row>
    <row r="543" spans="1:7" ht="14.25">
      <c r="A543" s="17" t="s">
        <v>170</v>
      </c>
      <c r="B543" s="22" t="s">
        <v>2</v>
      </c>
      <c r="C543" s="17" t="s">
        <v>27</v>
      </c>
      <c r="D543" s="18" t="s">
        <v>25</v>
      </c>
      <c r="E543" s="23" t="s">
        <v>28</v>
      </c>
      <c r="F543" s="74" t="s">
        <v>29</v>
      </c>
      <c r="G543" s="74" t="s">
        <v>30</v>
      </c>
    </row>
    <row r="544" spans="1:7" ht="14.25">
      <c r="A544" s="16" t="s">
        <v>630</v>
      </c>
      <c r="B544" s="22">
        <v>7348</v>
      </c>
      <c r="C544" s="17" t="s">
        <v>171</v>
      </c>
      <c r="D544" s="18" t="s">
        <v>172</v>
      </c>
      <c r="E544" s="23">
        <f>0.03*((1+1+0.7+0.7)+(0.7/0.05*0.7))</f>
        <v>0.39599999999999996</v>
      </c>
      <c r="F544" s="74"/>
      <c r="G544" s="74"/>
    </row>
    <row r="545" spans="1:7" ht="14.25">
      <c r="A545" s="16" t="s">
        <v>630</v>
      </c>
      <c r="B545" s="22">
        <v>12815</v>
      </c>
      <c r="C545" s="17" t="s">
        <v>173</v>
      </c>
      <c r="D545" s="18" t="s">
        <v>12</v>
      </c>
      <c r="E545" s="23">
        <f>((1+1+0.7+0.7)*2+(0.7*4))/50</f>
        <v>0.19200000000000003</v>
      </c>
      <c r="F545" s="74"/>
      <c r="G545" s="74"/>
    </row>
    <row r="546" spans="1:7" ht="14.25">
      <c r="A546" s="16" t="s">
        <v>630</v>
      </c>
      <c r="B546" s="22">
        <v>88310</v>
      </c>
      <c r="C546" s="17" t="s">
        <v>174</v>
      </c>
      <c r="D546" s="18" t="s">
        <v>17</v>
      </c>
      <c r="E546" s="23">
        <v>2</v>
      </c>
      <c r="F546" s="74"/>
      <c r="G546" s="74"/>
    </row>
    <row r="547" spans="1:7" ht="14.25">
      <c r="A547" s="16" t="s">
        <v>630</v>
      </c>
      <c r="B547" s="22" t="s">
        <v>125</v>
      </c>
      <c r="C547" s="17" t="s">
        <v>67</v>
      </c>
      <c r="D547" s="18" t="s">
        <v>17</v>
      </c>
      <c r="E547" s="23">
        <f>E546*1.5</f>
        <v>3</v>
      </c>
      <c r="F547" s="74"/>
      <c r="G547" s="74"/>
    </row>
    <row r="549" spans="1:7" ht="14.25">
      <c r="A549" s="17"/>
      <c r="B549" s="17"/>
      <c r="C549" s="17" t="s">
        <v>24</v>
      </c>
      <c r="D549" s="18" t="s">
        <v>25</v>
      </c>
      <c r="E549" s="19" t="s">
        <v>47</v>
      </c>
      <c r="F549" s="18"/>
      <c r="G549" s="18"/>
    </row>
    <row r="550" spans="1:7" ht="25.5">
      <c r="A550" s="17" t="s">
        <v>35</v>
      </c>
      <c r="B550" s="20" t="s">
        <v>469</v>
      </c>
      <c r="C550" s="20" t="s">
        <v>466</v>
      </c>
      <c r="D550" s="21" t="s">
        <v>12</v>
      </c>
      <c r="E550" s="72" t="e">
        <f>AVERAGE(G552:G553)</f>
        <v>#DIV/0!</v>
      </c>
      <c r="F550" s="18"/>
      <c r="G550" s="18"/>
    </row>
    <row r="551" spans="1:7" ht="14.25">
      <c r="A551" s="17"/>
      <c r="B551" s="17" t="s">
        <v>2</v>
      </c>
      <c r="C551" s="17" t="s">
        <v>27</v>
      </c>
      <c r="D551" s="18" t="s">
        <v>25</v>
      </c>
      <c r="E551" s="19" t="s">
        <v>28</v>
      </c>
      <c r="F551" s="18" t="s">
        <v>29</v>
      </c>
      <c r="G551" s="18" t="s">
        <v>30</v>
      </c>
    </row>
    <row r="552" spans="1:7" ht="14.25">
      <c r="A552" s="17" t="s">
        <v>32</v>
      </c>
      <c r="B552" s="22" t="s">
        <v>39</v>
      </c>
      <c r="C552" s="17" t="s">
        <v>467</v>
      </c>
      <c r="D552" s="18" t="s">
        <v>12</v>
      </c>
      <c r="E552" s="23">
        <v>1</v>
      </c>
      <c r="F552" s="74"/>
      <c r="G552" s="74"/>
    </row>
    <row r="553" spans="1:7" ht="14.25">
      <c r="A553" s="17" t="s">
        <v>32</v>
      </c>
      <c r="B553" s="22" t="s">
        <v>40</v>
      </c>
      <c r="C553" s="17" t="s">
        <v>468</v>
      </c>
      <c r="D553" s="18" t="s">
        <v>12</v>
      </c>
      <c r="E553" s="23">
        <v>1</v>
      </c>
      <c r="F553" s="74"/>
      <c r="G553" s="74"/>
    </row>
    <row r="555" spans="1:7" ht="14.25">
      <c r="A555" s="66"/>
      <c r="B555" s="66"/>
      <c r="C555" s="66" t="s">
        <v>24</v>
      </c>
      <c r="D555" s="67" t="s">
        <v>25</v>
      </c>
      <c r="E555" s="70" t="s">
        <v>47</v>
      </c>
      <c r="F555" s="67"/>
      <c r="G555" s="67"/>
    </row>
    <row r="556" spans="1:7" ht="25.5">
      <c r="A556" s="66" t="s">
        <v>35</v>
      </c>
      <c r="B556" s="68" t="s">
        <v>483</v>
      </c>
      <c r="C556" s="68" t="s">
        <v>491</v>
      </c>
      <c r="D556" s="69" t="s">
        <v>12</v>
      </c>
      <c r="E556" s="72" t="e">
        <f>AVERAGE(G558:G560)</f>
        <v>#DIV/0!</v>
      </c>
      <c r="F556" s="67"/>
      <c r="G556" s="67"/>
    </row>
    <row r="557" spans="1:7" ht="14.25">
      <c r="A557" s="66"/>
      <c r="B557" s="66" t="s">
        <v>2</v>
      </c>
      <c r="C557" s="66" t="s">
        <v>27</v>
      </c>
      <c r="D557" s="67" t="s">
        <v>25</v>
      </c>
      <c r="E557" s="70" t="s">
        <v>28</v>
      </c>
      <c r="F557" s="67" t="s">
        <v>29</v>
      </c>
      <c r="G557" s="67" t="s">
        <v>30</v>
      </c>
    </row>
    <row r="558" spans="1:7" ht="14.25">
      <c r="A558" s="66" t="s">
        <v>32</v>
      </c>
      <c r="B558" s="71" t="s">
        <v>39</v>
      </c>
      <c r="C558" s="66" t="s">
        <v>259</v>
      </c>
      <c r="D558" s="67" t="s">
        <v>12</v>
      </c>
      <c r="E558" s="73">
        <v>1</v>
      </c>
      <c r="F558" s="74"/>
      <c r="G558" s="74"/>
    </row>
    <row r="559" spans="1:8" ht="14.25">
      <c r="A559" s="66" t="s">
        <v>32</v>
      </c>
      <c r="B559" s="71" t="s">
        <v>40</v>
      </c>
      <c r="C559" s="66" t="s">
        <v>301</v>
      </c>
      <c r="D559" s="67" t="s">
        <v>12</v>
      </c>
      <c r="E559" s="73">
        <v>1</v>
      </c>
      <c r="F559" s="74"/>
      <c r="G559" s="74"/>
      <c r="H559" s="94"/>
    </row>
    <row r="560" spans="1:7" ht="14.25">
      <c r="A560" s="66" t="s">
        <v>32</v>
      </c>
      <c r="B560" s="82" t="s">
        <v>43</v>
      </c>
      <c r="C560" s="66" t="s">
        <v>320</v>
      </c>
      <c r="D560" s="67" t="s">
        <v>12</v>
      </c>
      <c r="E560" s="73">
        <v>1</v>
      </c>
      <c r="F560" s="74"/>
      <c r="G560" s="74"/>
    </row>
    <row r="562" spans="1:7" ht="14.25">
      <c r="A562" s="66"/>
      <c r="B562" s="66"/>
      <c r="C562" s="66" t="s">
        <v>24</v>
      </c>
      <c r="D562" s="67" t="s">
        <v>25</v>
      </c>
      <c r="E562" s="70" t="s">
        <v>47</v>
      </c>
      <c r="F562" s="67"/>
      <c r="G562" s="67"/>
    </row>
    <row r="563" spans="1:7" ht="25.5">
      <c r="A563" s="66" t="s">
        <v>35</v>
      </c>
      <c r="B563" s="68" t="s">
        <v>484</v>
      </c>
      <c r="C563" s="68" t="s">
        <v>492</v>
      </c>
      <c r="D563" s="69" t="s">
        <v>12</v>
      </c>
      <c r="E563" s="72" t="e">
        <f>AVERAGE(G565:G567)</f>
        <v>#DIV/0!</v>
      </c>
      <c r="F563" s="67"/>
      <c r="G563" s="67"/>
    </row>
    <row r="564" spans="1:7" ht="14.25">
      <c r="A564" s="66"/>
      <c r="B564" s="66" t="s">
        <v>2</v>
      </c>
      <c r="C564" s="66" t="s">
        <v>27</v>
      </c>
      <c r="D564" s="67" t="s">
        <v>25</v>
      </c>
      <c r="E564" s="70" t="s">
        <v>28</v>
      </c>
      <c r="F564" s="67" t="s">
        <v>29</v>
      </c>
      <c r="G564" s="67" t="s">
        <v>30</v>
      </c>
    </row>
    <row r="565" spans="1:7" ht="14.25">
      <c r="A565" s="66" t="s">
        <v>32</v>
      </c>
      <c r="B565" s="71" t="s">
        <v>39</v>
      </c>
      <c r="C565" s="66" t="s">
        <v>493</v>
      </c>
      <c r="D565" s="67" t="s">
        <v>12</v>
      </c>
      <c r="E565" s="73">
        <f>1/50</f>
        <v>0.02</v>
      </c>
      <c r="F565" s="74"/>
      <c r="G565" s="74"/>
    </row>
    <row r="566" spans="1:7" ht="14.25">
      <c r="A566" s="66" t="s">
        <v>32</v>
      </c>
      <c r="B566" s="71" t="s">
        <v>40</v>
      </c>
      <c r="C566" s="66" t="s">
        <v>494</v>
      </c>
      <c r="D566" s="67" t="s">
        <v>12</v>
      </c>
      <c r="E566" s="73">
        <v>1</v>
      </c>
      <c r="F566" s="74"/>
      <c r="G566" s="74"/>
    </row>
    <row r="567" spans="1:7" ht="14.25">
      <c r="A567" s="66" t="s">
        <v>32</v>
      </c>
      <c r="B567" s="82" t="s">
        <v>43</v>
      </c>
      <c r="C567" s="66" t="s">
        <v>495</v>
      </c>
      <c r="D567" s="67" t="s">
        <v>12</v>
      </c>
      <c r="E567" s="73">
        <f>1/50</f>
        <v>0.02</v>
      </c>
      <c r="F567" s="74"/>
      <c r="G567" s="74"/>
    </row>
    <row r="569" spans="1:7" ht="14.25">
      <c r="A569" s="66"/>
      <c r="B569" s="66"/>
      <c r="C569" s="66" t="s">
        <v>24</v>
      </c>
      <c r="D569" s="67" t="s">
        <v>25</v>
      </c>
      <c r="E569" s="70" t="s">
        <v>47</v>
      </c>
      <c r="F569" s="67"/>
      <c r="G569" s="67"/>
    </row>
    <row r="570" spans="1:7" ht="25.5">
      <c r="A570" s="66" t="s">
        <v>35</v>
      </c>
      <c r="B570" s="68" t="s">
        <v>485</v>
      </c>
      <c r="C570" s="68" t="s">
        <v>496</v>
      </c>
      <c r="D570" s="69" t="s">
        <v>12</v>
      </c>
      <c r="E570" s="72" t="e">
        <f>AVERAGE(G572:G574)</f>
        <v>#DIV/0!</v>
      </c>
      <c r="F570" s="67"/>
      <c r="G570" s="67"/>
    </row>
    <row r="571" spans="1:7" ht="14.25">
      <c r="A571" s="66"/>
      <c r="B571" s="66" t="s">
        <v>2</v>
      </c>
      <c r="C571" s="66" t="s">
        <v>27</v>
      </c>
      <c r="D571" s="67" t="s">
        <v>25</v>
      </c>
      <c r="E571" s="70" t="s">
        <v>28</v>
      </c>
      <c r="F571" s="67" t="s">
        <v>29</v>
      </c>
      <c r="G571" s="67" t="s">
        <v>30</v>
      </c>
    </row>
    <row r="572" spans="1:7" ht="14.25">
      <c r="A572" s="66" t="s">
        <v>32</v>
      </c>
      <c r="B572" s="71" t="s">
        <v>39</v>
      </c>
      <c r="C572" s="66" t="s">
        <v>497</v>
      </c>
      <c r="D572" s="67" t="s">
        <v>12</v>
      </c>
      <c r="E572" s="73">
        <v>1</v>
      </c>
      <c r="F572" s="74"/>
      <c r="G572" s="74"/>
    </row>
    <row r="573" spans="1:8" ht="14.25">
      <c r="A573" s="66" t="s">
        <v>32</v>
      </c>
      <c r="B573" s="71" t="s">
        <v>40</v>
      </c>
      <c r="C573" s="66" t="s">
        <v>384</v>
      </c>
      <c r="D573" s="67" t="s">
        <v>12</v>
      </c>
      <c r="E573" s="73">
        <v>1</v>
      </c>
      <c r="F573" s="74"/>
      <c r="G573" s="74"/>
      <c r="H573" s="94"/>
    </row>
    <row r="574" spans="1:7" ht="14.25">
      <c r="A574" s="66" t="s">
        <v>32</v>
      </c>
      <c r="B574" s="82" t="s">
        <v>43</v>
      </c>
      <c r="C574" s="66" t="s">
        <v>498</v>
      </c>
      <c r="D574" s="67" t="s">
        <v>12</v>
      </c>
      <c r="E574" s="73">
        <v>1</v>
      </c>
      <c r="F574" s="74"/>
      <c r="G574" s="74"/>
    </row>
    <row r="575" spans="1:7" ht="14.25">
      <c r="A575" s="84"/>
      <c r="B575" s="87"/>
      <c r="C575" s="84"/>
      <c r="D575" s="85"/>
      <c r="E575" s="86"/>
      <c r="F575" s="28"/>
      <c r="G575" s="28"/>
    </row>
    <row r="576" spans="1:7" ht="14.25">
      <c r="A576" s="66"/>
      <c r="B576" s="66"/>
      <c r="C576" s="66" t="s">
        <v>24</v>
      </c>
      <c r="D576" s="67" t="s">
        <v>25</v>
      </c>
      <c r="E576" s="70" t="s">
        <v>47</v>
      </c>
      <c r="F576" s="67"/>
      <c r="G576" s="67"/>
    </row>
    <row r="577" spans="1:7" ht="25.5">
      <c r="A577" s="66" t="s">
        <v>35</v>
      </c>
      <c r="B577" s="68" t="s">
        <v>486</v>
      </c>
      <c r="C577" s="68" t="s">
        <v>499</v>
      </c>
      <c r="D577" s="69" t="s">
        <v>12</v>
      </c>
      <c r="E577" s="72" t="e">
        <f>AVERAGE(G579:G581)</f>
        <v>#DIV/0!</v>
      </c>
      <c r="F577" s="67"/>
      <c r="G577" s="67"/>
    </row>
    <row r="578" spans="1:7" ht="14.25">
      <c r="A578" s="66"/>
      <c r="B578" s="66" t="s">
        <v>2</v>
      </c>
      <c r="C578" s="66" t="s">
        <v>27</v>
      </c>
      <c r="D578" s="67" t="s">
        <v>25</v>
      </c>
      <c r="E578" s="70" t="s">
        <v>28</v>
      </c>
      <c r="F578" s="67" t="s">
        <v>29</v>
      </c>
      <c r="G578" s="67" t="s">
        <v>30</v>
      </c>
    </row>
    <row r="579" spans="1:7" ht="14.25">
      <c r="A579" s="66" t="s">
        <v>32</v>
      </c>
      <c r="B579" s="71" t="s">
        <v>39</v>
      </c>
      <c r="C579" s="66" t="s">
        <v>500</v>
      </c>
      <c r="D579" s="67" t="s">
        <v>12</v>
      </c>
      <c r="E579" s="73">
        <v>1</v>
      </c>
      <c r="F579" s="74"/>
      <c r="G579" s="74"/>
    </row>
    <row r="580" spans="1:8" ht="14.25">
      <c r="A580" s="66" t="s">
        <v>32</v>
      </c>
      <c r="B580" s="71" t="s">
        <v>40</v>
      </c>
      <c r="C580" s="66" t="s">
        <v>498</v>
      </c>
      <c r="D580" s="67" t="s">
        <v>12</v>
      </c>
      <c r="E580" s="73">
        <v>1</v>
      </c>
      <c r="F580" s="74"/>
      <c r="G580" s="74"/>
      <c r="H580" s="94"/>
    </row>
    <row r="581" spans="1:7" ht="14.25">
      <c r="A581" s="66" t="s">
        <v>32</v>
      </c>
      <c r="B581" s="82" t="s">
        <v>43</v>
      </c>
      <c r="C581" s="66" t="s">
        <v>501</v>
      </c>
      <c r="D581" s="67" t="s">
        <v>12</v>
      </c>
      <c r="E581" s="73">
        <f>1/10</f>
        <v>0.1</v>
      </c>
      <c r="F581" s="74"/>
      <c r="G581" s="74"/>
    </row>
    <row r="582" spans="1:7" ht="14.25">
      <c r="A582" s="84"/>
      <c r="B582" s="87"/>
      <c r="C582" s="84"/>
      <c r="D582" s="85"/>
      <c r="E582" s="86"/>
      <c r="F582" s="28"/>
      <c r="G582" s="28"/>
    </row>
    <row r="583" spans="1:7" ht="14.25">
      <c r="A583" s="66"/>
      <c r="B583" s="66"/>
      <c r="C583" s="66" t="s">
        <v>24</v>
      </c>
      <c r="D583" s="67" t="s">
        <v>25</v>
      </c>
      <c r="E583" s="70" t="s">
        <v>47</v>
      </c>
      <c r="F583" s="67"/>
      <c r="G583" s="67"/>
    </row>
    <row r="584" spans="1:7" ht="25.5">
      <c r="A584" s="66" t="s">
        <v>35</v>
      </c>
      <c r="B584" s="68" t="s">
        <v>487</v>
      </c>
      <c r="C584" s="68" t="s">
        <v>502</v>
      </c>
      <c r="D584" s="69" t="s">
        <v>12</v>
      </c>
      <c r="E584" s="72" t="e">
        <f>AVERAGE(G586:G587)</f>
        <v>#DIV/0!</v>
      </c>
      <c r="F584" s="67"/>
      <c r="G584" s="67"/>
    </row>
    <row r="585" spans="1:7" ht="14.25">
      <c r="A585" s="66"/>
      <c r="B585" s="66" t="s">
        <v>2</v>
      </c>
      <c r="C585" s="66" t="s">
        <v>27</v>
      </c>
      <c r="D585" s="67" t="s">
        <v>25</v>
      </c>
      <c r="E585" s="70" t="s">
        <v>28</v>
      </c>
      <c r="F585" s="67" t="s">
        <v>29</v>
      </c>
      <c r="G585" s="67" t="s">
        <v>30</v>
      </c>
    </row>
    <row r="586" spans="1:7" ht="14.25">
      <c r="A586" s="66" t="s">
        <v>32</v>
      </c>
      <c r="B586" s="71" t="s">
        <v>39</v>
      </c>
      <c r="C586" s="66" t="s">
        <v>92</v>
      </c>
      <c r="D586" s="67" t="s">
        <v>12</v>
      </c>
      <c r="E586" s="73">
        <v>1</v>
      </c>
      <c r="F586" s="74"/>
      <c r="G586" s="74"/>
    </row>
    <row r="587" spans="1:7" ht="14.25">
      <c r="A587" s="66" t="s">
        <v>32</v>
      </c>
      <c r="B587" s="71" t="s">
        <v>40</v>
      </c>
      <c r="C587" s="66" t="s">
        <v>503</v>
      </c>
      <c r="D587" s="67" t="s">
        <v>12</v>
      </c>
      <c r="E587" s="73">
        <v>1</v>
      </c>
      <c r="F587" s="74"/>
      <c r="G587" s="74"/>
    </row>
    <row r="588" spans="1:7" ht="14.25">
      <c r="A588" s="84"/>
      <c r="B588" s="87"/>
      <c r="C588" s="84"/>
      <c r="D588" s="85"/>
      <c r="E588" s="86"/>
      <c r="F588" s="28"/>
      <c r="G588" s="28"/>
    </row>
    <row r="589" spans="1:7" ht="14.25">
      <c r="A589" s="66"/>
      <c r="B589" s="66"/>
      <c r="C589" s="66" t="s">
        <v>24</v>
      </c>
      <c r="D589" s="67" t="s">
        <v>25</v>
      </c>
      <c r="E589" s="70" t="s">
        <v>47</v>
      </c>
      <c r="F589" s="67"/>
      <c r="G589" s="67"/>
    </row>
    <row r="590" spans="1:7" ht="25.5">
      <c r="A590" s="66" t="s">
        <v>35</v>
      </c>
      <c r="B590" s="68" t="s">
        <v>488</v>
      </c>
      <c r="C590" s="68" t="s">
        <v>508</v>
      </c>
      <c r="D590" s="69" t="s">
        <v>12</v>
      </c>
      <c r="E590" s="72" t="e">
        <f>AVERAGE(G592:G593)</f>
        <v>#DIV/0!</v>
      </c>
      <c r="F590" s="67"/>
      <c r="G590" s="67"/>
    </row>
    <row r="591" spans="1:7" ht="14.25">
      <c r="A591" s="66"/>
      <c r="B591" s="66" t="s">
        <v>2</v>
      </c>
      <c r="C591" s="66" t="s">
        <v>27</v>
      </c>
      <c r="D591" s="67" t="s">
        <v>25</v>
      </c>
      <c r="E591" s="70" t="s">
        <v>28</v>
      </c>
      <c r="F591" s="67" t="s">
        <v>29</v>
      </c>
      <c r="G591" s="67" t="s">
        <v>30</v>
      </c>
    </row>
    <row r="592" spans="1:7" ht="14.25">
      <c r="A592" s="66" t="s">
        <v>32</v>
      </c>
      <c r="B592" s="71" t="s">
        <v>39</v>
      </c>
      <c r="C592" s="66" t="s">
        <v>507</v>
      </c>
      <c r="D592" s="67" t="s">
        <v>12</v>
      </c>
      <c r="E592" s="73">
        <v>1</v>
      </c>
      <c r="F592" s="74"/>
      <c r="G592" s="74"/>
    </row>
    <row r="593" spans="1:7" ht="14.25">
      <c r="A593" s="66" t="s">
        <v>32</v>
      </c>
      <c r="B593" s="71" t="s">
        <v>40</v>
      </c>
      <c r="C593" s="66" t="s">
        <v>509</v>
      </c>
      <c r="D593" s="67" t="s">
        <v>12</v>
      </c>
      <c r="E593" s="73">
        <v>1</v>
      </c>
      <c r="F593" s="74"/>
      <c r="G593" s="74"/>
    </row>
    <row r="594" spans="1:7" ht="14.25">
      <c r="A594" s="84"/>
      <c r="B594" s="87"/>
      <c r="C594" s="84"/>
      <c r="D594" s="85"/>
      <c r="E594" s="86"/>
      <c r="F594" s="28"/>
      <c r="G594" s="28"/>
    </row>
    <row r="595" spans="1:7" ht="14.25">
      <c r="A595" s="66"/>
      <c r="B595" s="66"/>
      <c r="C595" s="66" t="s">
        <v>24</v>
      </c>
      <c r="D595" s="67" t="s">
        <v>25</v>
      </c>
      <c r="E595" s="70" t="s">
        <v>47</v>
      </c>
      <c r="F595" s="67"/>
      <c r="G595" s="67"/>
    </row>
    <row r="596" spans="1:7" ht="25.5">
      <c r="A596" s="66" t="s">
        <v>35</v>
      </c>
      <c r="B596" s="68" t="s">
        <v>489</v>
      </c>
      <c r="C596" s="68" t="s">
        <v>511</v>
      </c>
      <c r="D596" s="69" t="s">
        <v>12</v>
      </c>
      <c r="E596" s="72" t="e">
        <f>AVERAGE(G598:G600)</f>
        <v>#DIV/0!</v>
      </c>
      <c r="F596" s="67"/>
      <c r="G596" s="67"/>
    </row>
    <row r="597" spans="1:7" ht="14.25">
      <c r="A597" s="66"/>
      <c r="B597" s="66" t="s">
        <v>2</v>
      </c>
      <c r="C597" s="66" t="s">
        <v>27</v>
      </c>
      <c r="D597" s="67" t="s">
        <v>25</v>
      </c>
      <c r="E597" s="70" t="s">
        <v>28</v>
      </c>
      <c r="F597" s="67" t="s">
        <v>29</v>
      </c>
      <c r="G597" s="67" t="s">
        <v>30</v>
      </c>
    </row>
    <row r="598" spans="1:7" ht="14.25">
      <c r="A598" s="66" t="s">
        <v>32</v>
      </c>
      <c r="B598" s="71" t="s">
        <v>39</v>
      </c>
      <c r="C598" s="66" t="s">
        <v>503</v>
      </c>
      <c r="D598" s="67" t="s">
        <v>12</v>
      </c>
      <c r="E598" s="73">
        <v>1</v>
      </c>
      <c r="F598" s="74"/>
      <c r="G598" s="74"/>
    </row>
    <row r="599" spans="1:7" ht="14.25">
      <c r="A599" s="66" t="s">
        <v>32</v>
      </c>
      <c r="B599" s="71" t="s">
        <v>40</v>
      </c>
      <c r="C599" s="66" t="s">
        <v>512</v>
      </c>
      <c r="D599" s="67" t="s">
        <v>12</v>
      </c>
      <c r="E599" s="73">
        <v>1</v>
      </c>
      <c r="F599" s="74"/>
      <c r="G599" s="74"/>
    </row>
    <row r="600" spans="1:7" ht="14.25">
      <c r="A600" s="66" t="s">
        <v>32</v>
      </c>
      <c r="B600" s="82" t="s">
        <v>43</v>
      </c>
      <c r="C600" s="66" t="s">
        <v>513</v>
      </c>
      <c r="D600" s="67" t="s">
        <v>12</v>
      </c>
      <c r="E600" s="73">
        <v>1</v>
      </c>
      <c r="F600" s="74"/>
      <c r="G600" s="74"/>
    </row>
    <row r="601" spans="1:7" ht="14.25">
      <c r="A601" s="84"/>
      <c r="B601" s="87"/>
      <c r="C601" s="84"/>
      <c r="D601" s="85"/>
      <c r="E601" s="86"/>
      <c r="F601" s="28"/>
      <c r="G601" s="28"/>
    </row>
    <row r="602" spans="1:7" ht="14.25">
      <c r="A602" s="66"/>
      <c r="B602" s="66"/>
      <c r="C602" s="66" t="s">
        <v>24</v>
      </c>
      <c r="D602" s="67" t="s">
        <v>25</v>
      </c>
      <c r="E602" s="70" t="s">
        <v>47</v>
      </c>
      <c r="F602" s="67"/>
      <c r="G602" s="67"/>
    </row>
    <row r="603" spans="1:7" ht="25.5">
      <c r="A603" s="66" t="s">
        <v>35</v>
      </c>
      <c r="B603" s="68" t="s">
        <v>490</v>
      </c>
      <c r="C603" s="68" t="s">
        <v>517</v>
      </c>
      <c r="D603" s="69" t="s">
        <v>12</v>
      </c>
      <c r="E603" s="72">
        <f>SUM(G605:G614)</f>
        <v>0</v>
      </c>
      <c r="F603" s="67"/>
      <c r="G603" s="67"/>
    </row>
    <row r="604" spans="1:7" ht="14.25">
      <c r="A604" s="66"/>
      <c r="B604" s="66" t="s">
        <v>2</v>
      </c>
      <c r="C604" s="66" t="s">
        <v>27</v>
      </c>
      <c r="D604" s="67" t="s">
        <v>25</v>
      </c>
      <c r="E604" s="70" t="s">
        <v>28</v>
      </c>
      <c r="F604" s="67" t="s">
        <v>29</v>
      </c>
      <c r="G604" s="67" t="s">
        <v>30</v>
      </c>
    </row>
    <row r="605" spans="1:7" ht="14.25">
      <c r="A605" s="16" t="s">
        <v>32</v>
      </c>
      <c r="B605" s="71" t="str">
        <f>B556</f>
        <v>CP 030A</v>
      </c>
      <c r="C605" s="66" t="str">
        <f>C556</f>
        <v>PRESILHA PARA CABO DE COBRE SEÇÃO TRANSVERSAL 35 MM2</v>
      </c>
      <c r="D605" s="67" t="str">
        <f>D556</f>
        <v>UN</v>
      </c>
      <c r="E605" s="73">
        <v>300</v>
      </c>
      <c r="F605" s="74"/>
      <c r="G605" s="74"/>
    </row>
    <row r="606" spans="1:7" ht="25.5">
      <c r="A606" s="16" t="s">
        <v>32</v>
      </c>
      <c r="B606" s="71" t="str">
        <f>B563</f>
        <v>CP 030B</v>
      </c>
      <c r="C606" s="66" t="str">
        <f>C563</f>
        <v>PARAFUSO AUTO-ATARRAXANTE PANELA FENDA INOX 304 - 4.2 X 32</v>
      </c>
      <c r="D606" s="67" t="str">
        <f>D563</f>
        <v>UN</v>
      </c>
      <c r="E606" s="73">
        <f>E605</f>
        <v>300</v>
      </c>
      <c r="F606" s="74"/>
      <c r="G606" s="74"/>
    </row>
    <row r="607" spans="1:7" ht="25.5">
      <c r="A607" s="16" t="s">
        <v>32</v>
      </c>
      <c r="B607" s="71" t="str">
        <f>B570</f>
        <v>CP 030C</v>
      </c>
      <c r="C607" s="66" t="str">
        <f>C570</f>
        <v>CONECTOR PARAFUSO FENDIDO SPLIT-BOLT PARA CABO DE 35 MM²</v>
      </c>
      <c r="D607" s="67" t="str">
        <f>D558</f>
        <v>UN</v>
      </c>
      <c r="E607" s="73">
        <v>50</v>
      </c>
      <c r="F607" s="74"/>
      <c r="G607" s="74"/>
    </row>
    <row r="608" spans="1:7" ht="26.25" customHeight="1">
      <c r="A608" s="16" t="s">
        <v>32</v>
      </c>
      <c r="B608" s="71" t="str">
        <f>B577</f>
        <v>CP 030D</v>
      </c>
      <c r="C608" s="66" t="str">
        <f>C577</f>
        <v>TERMINAL À COMPRESSÃO EM COBRE ESTANHADO PARA CABO 35 MM²</v>
      </c>
      <c r="D608" s="67" t="str">
        <f>D577</f>
        <v>UN</v>
      </c>
      <c r="E608" s="73">
        <v>50</v>
      </c>
      <c r="F608" s="74"/>
      <c r="G608" s="74"/>
    </row>
    <row r="609" spans="1:7" ht="27" customHeight="1">
      <c r="A609" s="16" t="s">
        <v>32</v>
      </c>
      <c r="B609" s="71" t="str">
        <f>B584</f>
        <v>CP 030E</v>
      </c>
      <c r="C609" s="66" t="str">
        <f>C584</f>
        <v>CONECTOR DE EMENDA DE BRONZE COM 4 PARAFUSOS PARA CABO DE 35 MM² A 50 MM²</v>
      </c>
      <c r="D609" s="67" t="str">
        <f>D584</f>
        <v>UN</v>
      </c>
      <c r="E609" s="73">
        <v>20</v>
      </c>
      <c r="F609" s="74"/>
      <c r="G609" s="74"/>
    </row>
    <row r="610" spans="1:7" ht="27.75" customHeight="1">
      <c r="A610" s="16" t="s">
        <v>32</v>
      </c>
      <c r="B610" s="71" t="str">
        <f>B590</f>
        <v>CP 030F</v>
      </c>
      <c r="C610" s="66" t="str">
        <f>C590</f>
        <v>CAIXA DE EQUIPOTENCIALIZAÇÃO COM 9 TERMINAIS PARA USO INTERNO E EXTERNO - EM AÇO COM PINTURA EPÓXI</v>
      </c>
      <c r="D610" s="67" t="str">
        <f>D590</f>
        <v>UN</v>
      </c>
      <c r="E610" s="73">
        <v>1</v>
      </c>
      <c r="F610" s="74"/>
      <c r="G610" s="74"/>
    </row>
    <row r="611" spans="1:7" ht="31.5" customHeight="1">
      <c r="A611" s="16" t="s">
        <v>32</v>
      </c>
      <c r="B611" s="71" t="str">
        <f>B596</f>
        <v>CP 030G</v>
      </c>
      <c r="C611" s="66" t="str">
        <f>C596</f>
        <v>CONECTOR MINI-GAR EM BRONZE ESTANHADO PARA CONEXÃO ENTRE HASTE DE ATERRAMENTO</v>
      </c>
      <c r="D611" s="67" t="str">
        <f>D596</f>
        <v>UN</v>
      </c>
      <c r="E611" s="73">
        <v>50</v>
      </c>
      <c r="F611" s="74"/>
      <c r="G611" s="74"/>
    </row>
    <row r="612" spans="1:7" ht="14.25">
      <c r="A612" s="16" t="s">
        <v>630</v>
      </c>
      <c r="B612" s="71">
        <v>88247</v>
      </c>
      <c r="C612" s="66" t="s">
        <v>151</v>
      </c>
      <c r="D612" s="67" t="s">
        <v>17</v>
      </c>
      <c r="E612" s="73">
        <v>88</v>
      </c>
      <c r="F612" s="74"/>
      <c r="G612" s="74"/>
    </row>
    <row r="613" spans="1:7" ht="14.25">
      <c r="A613" s="16" t="s">
        <v>630</v>
      </c>
      <c r="B613" s="71">
        <v>88264</v>
      </c>
      <c r="C613" s="66" t="s">
        <v>153</v>
      </c>
      <c r="D613" s="67" t="s">
        <v>17</v>
      </c>
      <c r="E613" s="73">
        <v>88</v>
      </c>
      <c r="F613" s="74"/>
      <c r="G613" s="74"/>
    </row>
    <row r="614" spans="1:7" ht="14.25">
      <c r="A614" s="16" t="s">
        <v>630</v>
      </c>
      <c r="B614" s="22" t="s">
        <v>125</v>
      </c>
      <c r="C614" s="17" t="s">
        <v>67</v>
      </c>
      <c r="D614" s="18" t="s">
        <v>17</v>
      </c>
      <c r="E614" s="23">
        <v>88</v>
      </c>
      <c r="F614" s="74"/>
      <c r="G614" s="74"/>
    </row>
    <row r="616" spans="1:7" ht="14.25">
      <c r="A616" s="17"/>
      <c r="B616" s="17"/>
      <c r="C616" s="17" t="s">
        <v>24</v>
      </c>
      <c r="D616" s="18" t="s">
        <v>25</v>
      </c>
      <c r="E616" s="19" t="s">
        <v>47</v>
      </c>
      <c r="F616" s="18"/>
      <c r="G616" s="18"/>
    </row>
    <row r="617" spans="1:7" ht="25.5">
      <c r="A617" s="17" t="s">
        <v>35</v>
      </c>
      <c r="B617" s="20" t="s">
        <v>527</v>
      </c>
      <c r="C617" s="20" t="s">
        <v>528</v>
      </c>
      <c r="D617" s="21" t="s">
        <v>12</v>
      </c>
      <c r="E617" s="72" t="e">
        <f>AVERAGE(G619:G621)</f>
        <v>#DIV/0!</v>
      </c>
      <c r="F617" s="18"/>
      <c r="G617" s="18"/>
    </row>
    <row r="618" spans="1:7" ht="14.25">
      <c r="A618" s="17"/>
      <c r="B618" s="17" t="s">
        <v>2</v>
      </c>
      <c r="C618" s="17" t="s">
        <v>27</v>
      </c>
      <c r="D618" s="18" t="s">
        <v>25</v>
      </c>
      <c r="E618" s="19" t="s">
        <v>28</v>
      </c>
      <c r="F618" s="18" t="s">
        <v>29</v>
      </c>
      <c r="G618" s="18" t="s">
        <v>30</v>
      </c>
    </row>
    <row r="619" spans="1:7" ht="14.25">
      <c r="A619" s="17" t="s">
        <v>32</v>
      </c>
      <c r="B619" s="22" t="s">
        <v>39</v>
      </c>
      <c r="C619" s="17" t="s">
        <v>529</v>
      </c>
      <c r="D619" s="18" t="s">
        <v>12</v>
      </c>
      <c r="E619" s="23">
        <v>1</v>
      </c>
      <c r="F619" s="74"/>
      <c r="G619" s="74"/>
    </row>
    <row r="620" spans="1:7" ht="14.25">
      <c r="A620" s="17" t="s">
        <v>32</v>
      </c>
      <c r="B620" s="29" t="s">
        <v>40</v>
      </c>
      <c r="C620" s="17" t="s">
        <v>530</v>
      </c>
      <c r="D620" s="18" t="s">
        <v>12</v>
      </c>
      <c r="E620" s="23">
        <v>1</v>
      </c>
      <c r="F620" s="74"/>
      <c r="G620" s="74"/>
    </row>
    <row r="621" spans="1:7" ht="14.25">
      <c r="A621" s="17" t="s">
        <v>32</v>
      </c>
      <c r="B621" s="29" t="s">
        <v>43</v>
      </c>
      <c r="C621" s="17" t="s">
        <v>531</v>
      </c>
      <c r="D621" s="18" t="s">
        <v>12</v>
      </c>
      <c r="E621" s="23">
        <v>1</v>
      </c>
      <c r="F621" s="74"/>
      <c r="G621" s="74"/>
    </row>
    <row r="622" spans="1:7" ht="14.25">
      <c r="A622" s="25"/>
      <c r="B622" s="25"/>
      <c r="C622" s="25"/>
      <c r="D622" s="26"/>
      <c r="E622" s="27"/>
      <c r="F622" s="26"/>
      <c r="G622" s="26"/>
    </row>
    <row r="623" spans="1:7" ht="14.25">
      <c r="A623" s="17"/>
      <c r="B623" s="17"/>
      <c r="C623" s="17" t="s">
        <v>24</v>
      </c>
      <c r="D623" s="18" t="s">
        <v>25</v>
      </c>
      <c r="E623" s="19" t="s">
        <v>47</v>
      </c>
      <c r="F623" s="18"/>
      <c r="G623" s="18"/>
    </row>
    <row r="624" spans="1:7" ht="25.5">
      <c r="A624" s="17" t="s">
        <v>26</v>
      </c>
      <c r="B624" s="20" t="s">
        <v>505</v>
      </c>
      <c r="C624" s="20" t="str">
        <f>C626&amp;" - FORNECIMENTO E INSTALAÇÃO"</f>
        <v>DETECTOR DE FUMAÇA LINEAR 20 A 40 METROS DFL 3101 - INTELBRAS - FORNECIMENTO E INSTALAÇÃO</v>
      </c>
      <c r="D624" s="21" t="s">
        <v>12</v>
      </c>
      <c r="E624" s="72">
        <f>SUM(G626:G628)</f>
        <v>0</v>
      </c>
      <c r="F624" s="18"/>
      <c r="G624" s="18"/>
    </row>
    <row r="625" spans="1:7" ht="14.25">
      <c r="A625" s="17" t="s">
        <v>413</v>
      </c>
      <c r="B625" s="22" t="s">
        <v>2</v>
      </c>
      <c r="C625" s="17" t="s">
        <v>27</v>
      </c>
      <c r="D625" s="18" t="s">
        <v>25</v>
      </c>
      <c r="E625" s="23" t="s">
        <v>28</v>
      </c>
      <c r="F625" s="74" t="s">
        <v>29</v>
      </c>
      <c r="G625" s="74" t="s">
        <v>30</v>
      </c>
    </row>
    <row r="626" spans="1:7" ht="27" customHeight="1">
      <c r="A626" s="17" t="s">
        <v>32</v>
      </c>
      <c r="B626" s="22" t="str">
        <f>B617</f>
        <v>CP 031A</v>
      </c>
      <c r="C626" s="17" t="str">
        <f>C617</f>
        <v>DETECTOR DE FUMAÇA LINEAR 20 A 40 METROS DFL 3101 - INTELBRAS</v>
      </c>
      <c r="D626" s="18" t="str">
        <f>D617</f>
        <v>UN</v>
      </c>
      <c r="E626" s="23">
        <v>1</v>
      </c>
      <c r="F626" s="74"/>
      <c r="G626" s="74"/>
    </row>
    <row r="627" spans="1:7" ht="22.5" customHeight="1">
      <c r="A627" s="16" t="s">
        <v>630</v>
      </c>
      <c r="B627" s="22" t="s">
        <v>150</v>
      </c>
      <c r="C627" s="17" t="s">
        <v>151</v>
      </c>
      <c r="D627" s="18" t="s">
        <v>17</v>
      </c>
      <c r="E627" s="23">
        <v>2</v>
      </c>
      <c r="F627" s="74"/>
      <c r="G627" s="74"/>
    </row>
    <row r="628" spans="1:7" ht="14.25">
      <c r="A628" s="16" t="s">
        <v>630</v>
      </c>
      <c r="B628" s="22" t="s">
        <v>152</v>
      </c>
      <c r="C628" s="17" t="s">
        <v>153</v>
      </c>
      <c r="D628" s="18" t="s">
        <v>17</v>
      </c>
      <c r="E628" s="23">
        <v>2</v>
      </c>
      <c r="F628" s="74"/>
      <c r="G628" s="74"/>
    </row>
    <row r="630" spans="1:7" ht="14.25">
      <c r="A630" s="17"/>
      <c r="B630" s="17"/>
      <c r="C630" s="17" t="s">
        <v>24</v>
      </c>
      <c r="D630" s="18" t="s">
        <v>25</v>
      </c>
      <c r="E630" s="19" t="s">
        <v>47</v>
      </c>
      <c r="F630" s="18"/>
      <c r="G630" s="18"/>
    </row>
    <row r="631" spans="1:7" ht="25.5">
      <c r="A631" s="17" t="s">
        <v>35</v>
      </c>
      <c r="B631" s="20" t="s">
        <v>532</v>
      </c>
      <c r="C631" s="20" t="s">
        <v>534</v>
      </c>
      <c r="D631" s="21" t="s">
        <v>12</v>
      </c>
      <c r="E631" s="72" t="e">
        <f>AVERAGE(G633:G635)</f>
        <v>#DIV/0!</v>
      </c>
      <c r="F631" s="18"/>
      <c r="G631" s="18"/>
    </row>
    <row r="632" spans="1:7" ht="14.25">
      <c r="A632" s="17"/>
      <c r="B632" s="17" t="s">
        <v>2</v>
      </c>
      <c r="C632" s="17" t="s">
        <v>27</v>
      </c>
      <c r="D632" s="18" t="s">
        <v>25</v>
      </c>
      <c r="E632" s="19" t="s">
        <v>28</v>
      </c>
      <c r="F632" s="18" t="s">
        <v>29</v>
      </c>
      <c r="G632" s="18" t="s">
        <v>30</v>
      </c>
    </row>
    <row r="633" spans="1:7" ht="14.25">
      <c r="A633" s="17" t="s">
        <v>32</v>
      </c>
      <c r="B633" s="22" t="s">
        <v>39</v>
      </c>
      <c r="C633" s="17" t="s">
        <v>531</v>
      </c>
      <c r="D633" s="18" t="s">
        <v>12</v>
      </c>
      <c r="E633" s="23">
        <v>1</v>
      </c>
      <c r="F633" s="74"/>
      <c r="G633" s="74"/>
    </row>
    <row r="634" spans="1:7" ht="14.25">
      <c r="A634" s="17" t="s">
        <v>32</v>
      </c>
      <c r="B634" s="29" t="s">
        <v>40</v>
      </c>
      <c r="C634" s="17" t="s">
        <v>92</v>
      </c>
      <c r="D634" s="18" t="s">
        <v>12</v>
      </c>
      <c r="E634" s="23">
        <v>1</v>
      </c>
      <c r="F634" s="74"/>
      <c r="G634" s="74"/>
    </row>
    <row r="635" spans="1:7" ht="14.25">
      <c r="A635" s="17" t="s">
        <v>32</v>
      </c>
      <c r="B635" s="29" t="s">
        <v>43</v>
      </c>
      <c r="C635" s="17" t="s">
        <v>420</v>
      </c>
      <c r="D635" s="18" t="s">
        <v>12</v>
      </c>
      <c r="E635" s="23">
        <v>1</v>
      </c>
      <c r="F635" s="74"/>
      <c r="G635" s="74"/>
    </row>
    <row r="636" spans="1:7" ht="14.25">
      <c r="A636" s="25"/>
      <c r="B636" s="25"/>
      <c r="C636" s="25"/>
      <c r="D636" s="26"/>
      <c r="E636" s="27"/>
      <c r="F636" s="26"/>
      <c r="G636" s="26"/>
    </row>
    <row r="637" spans="1:7" ht="14.25">
      <c r="A637" s="17"/>
      <c r="B637" s="17"/>
      <c r="C637" s="17" t="s">
        <v>24</v>
      </c>
      <c r="D637" s="18" t="s">
        <v>25</v>
      </c>
      <c r="E637" s="19" t="s">
        <v>47</v>
      </c>
      <c r="F637" s="18"/>
      <c r="G637" s="18"/>
    </row>
    <row r="638" spans="1:7" ht="25.5">
      <c r="A638" s="17" t="s">
        <v>26</v>
      </c>
      <c r="B638" s="20" t="s">
        <v>533</v>
      </c>
      <c r="C638" s="20" t="str">
        <f>C640&amp;" - FORNECIMENTO E INSTALAÇÃO"</f>
        <v>DETECTOR DE FUMAÇA ENDEREÇÁVEL INTELBRAS DFE 520 - FORNECIMENTO E INSTALAÇÃO</v>
      </c>
      <c r="D638" s="21" t="s">
        <v>12</v>
      </c>
      <c r="E638" s="72">
        <f>SUM(G640:G642)</f>
        <v>0</v>
      </c>
      <c r="F638" s="18"/>
      <c r="G638" s="18"/>
    </row>
    <row r="639" spans="1:7" ht="14.25">
      <c r="A639" s="17" t="s">
        <v>413</v>
      </c>
      <c r="B639" s="22" t="s">
        <v>2</v>
      </c>
      <c r="C639" s="17" t="s">
        <v>27</v>
      </c>
      <c r="D639" s="18" t="s">
        <v>25</v>
      </c>
      <c r="E639" s="23" t="s">
        <v>28</v>
      </c>
      <c r="F639" s="74" t="s">
        <v>29</v>
      </c>
      <c r="G639" s="74" t="s">
        <v>30</v>
      </c>
    </row>
    <row r="640" spans="1:7" ht="14.25">
      <c r="A640" s="17" t="s">
        <v>32</v>
      </c>
      <c r="B640" s="22" t="str">
        <f>B631</f>
        <v>CP 032A</v>
      </c>
      <c r="C640" s="17" t="str">
        <f>C631</f>
        <v>DETECTOR DE FUMAÇA ENDEREÇÁVEL INTELBRAS DFE 520</v>
      </c>
      <c r="D640" s="18" t="str">
        <f>D631</f>
        <v>UN</v>
      </c>
      <c r="E640" s="23">
        <v>1</v>
      </c>
      <c r="F640" s="74"/>
      <c r="G640" s="74"/>
    </row>
    <row r="641" spans="1:7" ht="14.25">
      <c r="A641" s="16" t="s">
        <v>630</v>
      </c>
      <c r="B641" s="22" t="s">
        <v>150</v>
      </c>
      <c r="C641" s="17" t="s">
        <v>151</v>
      </c>
      <c r="D641" s="18" t="s">
        <v>17</v>
      </c>
      <c r="E641" s="23">
        <v>1</v>
      </c>
      <c r="F641" s="74"/>
      <c r="G641" s="74"/>
    </row>
    <row r="642" spans="1:7" ht="14.25">
      <c r="A642" s="16" t="s">
        <v>630</v>
      </c>
      <c r="B642" s="22" t="s">
        <v>152</v>
      </c>
      <c r="C642" s="17" t="s">
        <v>153</v>
      </c>
      <c r="D642" s="18" t="s">
        <v>17</v>
      </c>
      <c r="E642" s="23">
        <v>1</v>
      </c>
      <c r="F642" s="74"/>
      <c r="G642" s="74"/>
    </row>
    <row r="644" spans="1:7" ht="14.25">
      <c r="A644" s="17"/>
      <c r="B644" s="17"/>
      <c r="C644" s="17" t="s">
        <v>24</v>
      </c>
      <c r="D644" s="18" t="s">
        <v>25</v>
      </c>
      <c r="E644" s="19" t="s">
        <v>47</v>
      </c>
      <c r="F644" s="18"/>
      <c r="G644" s="18"/>
    </row>
    <row r="645" spans="1:7" ht="25.5">
      <c r="A645" s="17" t="s">
        <v>35</v>
      </c>
      <c r="B645" s="20" t="s">
        <v>536</v>
      </c>
      <c r="C645" s="20" t="s">
        <v>538</v>
      </c>
      <c r="D645" s="21" t="s">
        <v>18</v>
      </c>
      <c r="E645" s="72" t="e">
        <f>AVERAGE(G647:G649)</f>
        <v>#DIV/0!</v>
      </c>
      <c r="F645" s="18"/>
      <c r="G645" s="18"/>
    </row>
    <row r="646" spans="1:7" ht="14.25">
      <c r="A646" s="17"/>
      <c r="B646" s="17" t="s">
        <v>2</v>
      </c>
      <c r="C646" s="17" t="s">
        <v>27</v>
      </c>
      <c r="D646" s="18" t="s">
        <v>25</v>
      </c>
      <c r="E646" s="19" t="s">
        <v>28</v>
      </c>
      <c r="F646" s="18" t="s">
        <v>29</v>
      </c>
      <c r="G646" s="18" t="s">
        <v>30</v>
      </c>
    </row>
    <row r="647" spans="1:7" ht="14.25">
      <c r="A647" s="17" t="s">
        <v>32</v>
      </c>
      <c r="B647" s="22" t="s">
        <v>39</v>
      </c>
      <c r="C647" s="17" t="s">
        <v>539</v>
      </c>
      <c r="D647" s="18" t="s">
        <v>540</v>
      </c>
      <c r="E647" s="23">
        <f>1/3</f>
        <v>0.3333333333333333</v>
      </c>
      <c r="F647" s="74"/>
      <c r="G647" s="74"/>
    </row>
    <row r="648" spans="1:7" ht="14.25">
      <c r="A648" s="17" t="s">
        <v>32</v>
      </c>
      <c r="B648" s="29" t="s">
        <v>40</v>
      </c>
      <c r="C648" s="17" t="s">
        <v>503</v>
      </c>
      <c r="D648" s="18" t="s">
        <v>540</v>
      </c>
      <c r="E648" s="23">
        <f>1/3</f>
        <v>0.3333333333333333</v>
      </c>
      <c r="F648" s="74"/>
      <c r="G648" s="74"/>
    </row>
    <row r="649" spans="1:7" ht="14.25">
      <c r="A649" s="17" t="s">
        <v>32</v>
      </c>
      <c r="B649" s="29" t="s">
        <v>43</v>
      </c>
      <c r="C649" s="17" t="s">
        <v>94</v>
      </c>
      <c r="D649" s="18" t="s">
        <v>540</v>
      </c>
      <c r="E649" s="23">
        <f>1/3</f>
        <v>0.3333333333333333</v>
      </c>
      <c r="F649" s="74"/>
      <c r="G649" s="74"/>
    </row>
    <row r="650" spans="1:7" ht="14.25">
      <c r="A650" s="25"/>
      <c r="B650" s="25"/>
      <c r="C650" s="25"/>
      <c r="D650" s="26"/>
      <c r="E650" s="27"/>
      <c r="F650" s="26"/>
      <c r="G650" s="26"/>
    </row>
    <row r="651" spans="1:7" ht="14.25">
      <c r="A651" s="17"/>
      <c r="B651" s="17"/>
      <c r="C651" s="17" t="s">
        <v>24</v>
      </c>
      <c r="D651" s="18" t="s">
        <v>25</v>
      </c>
      <c r="E651" s="19" t="s">
        <v>47</v>
      </c>
      <c r="F651" s="18"/>
      <c r="G651" s="18"/>
    </row>
    <row r="652" spans="1:7" ht="25.5">
      <c r="A652" s="17" t="s">
        <v>26</v>
      </c>
      <c r="B652" s="20" t="s">
        <v>537</v>
      </c>
      <c r="C652" s="20" t="str">
        <f>C654&amp;" - FORNECIMENTO E INSTALAÇÃO"</f>
        <v>ELETRODUTO GALVANIZADO LEVE 3/4" - FORNECIMENTO E INSTALAÇÃO</v>
      </c>
      <c r="D652" s="21" t="s">
        <v>18</v>
      </c>
      <c r="E652" s="72">
        <f>SUM(G654:G656)</f>
        <v>0</v>
      </c>
      <c r="F652" s="18"/>
      <c r="G652" s="18"/>
    </row>
    <row r="653" spans="1:7" ht="14.25">
      <c r="A653" s="17" t="s">
        <v>413</v>
      </c>
      <c r="B653" s="22" t="s">
        <v>2</v>
      </c>
      <c r="C653" s="17" t="s">
        <v>27</v>
      </c>
      <c r="D653" s="18" t="s">
        <v>25</v>
      </c>
      <c r="E653" s="23" t="s">
        <v>28</v>
      </c>
      <c r="F653" s="74" t="s">
        <v>29</v>
      </c>
      <c r="G653" s="74" t="s">
        <v>30</v>
      </c>
    </row>
    <row r="654" spans="1:7" ht="14.25">
      <c r="A654" s="17" t="s">
        <v>32</v>
      </c>
      <c r="B654" s="22" t="str">
        <f>B645</f>
        <v>CP 033A</v>
      </c>
      <c r="C654" s="17" t="str">
        <f>C645</f>
        <v>ELETRODUTO GALVANIZADO LEVE 3/4"</v>
      </c>
      <c r="D654" s="18" t="str">
        <f>D645</f>
        <v>M</v>
      </c>
      <c r="E654" s="23">
        <v>1</v>
      </c>
      <c r="F654" s="74"/>
      <c r="G654" s="74"/>
    </row>
    <row r="655" spans="1:7" ht="14.25">
      <c r="A655" s="16" t="s">
        <v>630</v>
      </c>
      <c r="B655" s="22" t="s">
        <v>150</v>
      </c>
      <c r="C655" s="17" t="s">
        <v>151</v>
      </c>
      <c r="D655" s="18" t="s">
        <v>17</v>
      </c>
      <c r="E655" s="23">
        <v>1</v>
      </c>
      <c r="F655" s="74"/>
      <c r="G655" s="74"/>
    </row>
    <row r="656" spans="1:7" ht="14.25">
      <c r="A656" s="16" t="s">
        <v>630</v>
      </c>
      <c r="B656" s="22" t="s">
        <v>152</v>
      </c>
      <c r="C656" s="17" t="s">
        <v>153</v>
      </c>
      <c r="D656" s="18" t="s">
        <v>17</v>
      </c>
      <c r="E656" s="23">
        <v>1</v>
      </c>
      <c r="F656" s="74"/>
      <c r="G656" s="74"/>
    </row>
    <row r="658" spans="1:7" ht="14.25">
      <c r="A658" s="17"/>
      <c r="B658" s="17"/>
      <c r="C658" s="17" t="s">
        <v>24</v>
      </c>
      <c r="D658" s="18" t="s">
        <v>25</v>
      </c>
      <c r="E658" s="19" t="s">
        <v>47</v>
      </c>
      <c r="F658" s="18"/>
      <c r="G658" s="18"/>
    </row>
    <row r="659" spans="1:7" ht="38.25">
      <c r="A659" s="17" t="s">
        <v>26</v>
      </c>
      <c r="B659" s="20" t="s">
        <v>563</v>
      </c>
      <c r="C659" s="20" t="s">
        <v>560</v>
      </c>
      <c r="D659" s="21" t="s">
        <v>18</v>
      </c>
      <c r="E659" s="72">
        <f>SUM(G661:G662)</f>
        <v>0</v>
      </c>
      <c r="F659" s="18"/>
      <c r="G659" s="18"/>
    </row>
    <row r="660" spans="1:7" ht="14.25">
      <c r="A660" s="17"/>
      <c r="B660" s="17" t="s">
        <v>2</v>
      </c>
      <c r="C660" s="17" t="s">
        <v>27</v>
      </c>
      <c r="D660" s="18" t="s">
        <v>25</v>
      </c>
      <c r="E660" s="19" t="s">
        <v>28</v>
      </c>
      <c r="F660" s="18" t="s">
        <v>29</v>
      </c>
      <c r="G660" s="18" t="s">
        <v>30</v>
      </c>
    </row>
    <row r="661" spans="1:7" ht="14.25">
      <c r="A661" s="16" t="s">
        <v>630</v>
      </c>
      <c r="B661" s="18">
        <v>88316</v>
      </c>
      <c r="C661" s="17" t="s">
        <v>67</v>
      </c>
      <c r="D661" s="18" t="s">
        <v>17</v>
      </c>
      <c r="E661" s="23">
        <f>E662</f>
        <v>0.49230769230769234</v>
      </c>
      <c r="F661" s="74"/>
      <c r="G661" s="74"/>
    </row>
    <row r="662" spans="1:7" ht="14.25">
      <c r="A662" s="16" t="s">
        <v>630</v>
      </c>
      <c r="B662" s="18">
        <v>88323</v>
      </c>
      <c r="C662" s="17" t="s">
        <v>561</v>
      </c>
      <c r="D662" s="18" t="s">
        <v>17</v>
      </c>
      <c r="E662" s="23">
        <f>(8*2*4)/130</f>
        <v>0.49230769230769234</v>
      </c>
      <c r="F662" s="74"/>
      <c r="G662" s="74"/>
    </row>
    <row r="663" spans="1:7" ht="14.25">
      <c r="A663" s="25"/>
      <c r="B663" s="25"/>
      <c r="C663" s="25"/>
      <c r="D663" s="26"/>
      <c r="E663" s="27"/>
      <c r="F663" s="26"/>
      <c r="G663" s="26"/>
    </row>
    <row r="664" spans="1:7" ht="14.25">
      <c r="A664" s="17"/>
      <c r="B664" s="17"/>
      <c r="C664" s="17" t="s">
        <v>24</v>
      </c>
      <c r="D664" s="18" t="s">
        <v>25</v>
      </c>
      <c r="E664" s="19" t="s">
        <v>47</v>
      </c>
      <c r="F664" s="18"/>
      <c r="G664" s="18"/>
    </row>
    <row r="665" spans="1:7" ht="25.5">
      <c r="A665" s="17" t="s">
        <v>35</v>
      </c>
      <c r="B665" s="20" t="s">
        <v>564</v>
      </c>
      <c r="C665" s="20" t="s">
        <v>34</v>
      </c>
      <c r="D665" s="21" t="s">
        <v>12</v>
      </c>
      <c r="E665" s="72" t="e">
        <f>AVERAGE(G667:G670)</f>
        <v>#DIV/0!</v>
      </c>
      <c r="F665" s="18"/>
      <c r="G665" s="18"/>
    </row>
    <row r="666" spans="1:7" ht="14.25">
      <c r="A666" s="17"/>
      <c r="B666" s="17" t="s">
        <v>2</v>
      </c>
      <c r="C666" s="17" t="s">
        <v>27</v>
      </c>
      <c r="D666" s="18" t="s">
        <v>25</v>
      </c>
      <c r="E666" s="19" t="s">
        <v>28</v>
      </c>
      <c r="F666" s="18" t="s">
        <v>29</v>
      </c>
      <c r="G666" s="18" t="s">
        <v>30</v>
      </c>
    </row>
    <row r="667" spans="1:7" ht="14.25">
      <c r="A667" s="17" t="s">
        <v>32</v>
      </c>
      <c r="B667" s="22" t="s">
        <v>39</v>
      </c>
      <c r="C667" s="17" t="s">
        <v>37</v>
      </c>
      <c r="D667" s="18" t="s">
        <v>12</v>
      </c>
      <c r="E667" s="23">
        <v>1</v>
      </c>
      <c r="F667" s="74"/>
      <c r="G667" s="74"/>
    </row>
    <row r="668" spans="1:7" ht="14.25">
      <c r="A668" s="17" t="s">
        <v>32</v>
      </c>
      <c r="B668" s="22" t="s">
        <v>40</v>
      </c>
      <c r="C668" s="17" t="s">
        <v>38</v>
      </c>
      <c r="D668" s="18" t="s">
        <v>12</v>
      </c>
      <c r="E668" s="23">
        <v>1</v>
      </c>
      <c r="F668" s="74"/>
      <c r="G668" s="74"/>
    </row>
    <row r="669" spans="1:7" ht="14.25">
      <c r="A669" s="17" t="s">
        <v>32</v>
      </c>
      <c r="B669" s="22" t="s">
        <v>43</v>
      </c>
      <c r="C669" s="17" t="s">
        <v>41</v>
      </c>
      <c r="D669" s="18" t="s">
        <v>12</v>
      </c>
      <c r="E669" s="23">
        <v>1</v>
      </c>
      <c r="F669" s="74"/>
      <c r="G669" s="74"/>
    </row>
    <row r="670" spans="1:7" ht="14.25">
      <c r="A670" s="17" t="s">
        <v>32</v>
      </c>
      <c r="B670" s="22" t="s">
        <v>44</v>
      </c>
      <c r="C670" s="17" t="s">
        <v>42</v>
      </c>
      <c r="D670" s="18" t="s">
        <v>12</v>
      </c>
      <c r="E670" s="23">
        <v>1</v>
      </c>
      <c r="F670" s="74"/>
      <c r="G670" s="74"/>
    </row>
    <row r="671" spans="1:7" ht="14.25">
      <c r="A671" s="90"/>
      <c r="B671" s="91"/>
      <c r="C671" s="91"/>
      <c r="D671" s="91"/>
      <c r="E671" s="92"/>
      <c r="F671" s="24"/>
      <c r="G671" s="24"/>
    </row>
    <row r="672" spans="1:7" ht="14.25">
      <c r="A672" s="17"/>
      <c r="B672" s="17"/>
      <c r="C672" s="17" t="s">
        <v>24</v>
      </c>
      <c r="D672" s="18" t="s">
        <v>25</v>
      </c>
      <c r="E672" s="19" t="s">
        <v>47</v>
      </c>
      <c r="F672" s="18"/>
      <c r="G672" s="18"/>
    </row>
    <row r="673" spans="1:7" ht="25.5">
      <c r="A673" s="17" t="s">
        <v>26</v>
      </c>
      <c r="B673" s="20" t="s">
        <v>565</v>
      </c>
      <c r="C673" s="20" t="s">
        <v>562</v>
      </c>
      <c r="D673" s="21" t="s">
        <v>16</v>
      </c>
      <c r="E673" s="72">
        <f>SUM(G675:G676)</f>
        <v>0</v>
      </c>
      <c r="F673" s="18"/>
      <c r="G673" s="18"/>
    </row>
    <row r="674" spans="1:7" ht="14.25">
      <c r="A674" s="17"/>
      <c r="B674" s="17" t="s">
        <v>2</v>
      </c>
      <c r="C674" s="17" t="s">
        <v>27</v>
      </c>
      <c r="D674" s="18" t="s">
        <v>25</v>
      </c>
      <c r="E674" s="19" t="s">
        <v>28</v>
      </c>
      <c r="F674" s="18" t="s">
        <v>29</v>
      </c>
      <c r="G674" s="18" t="s">
        <v>30</v>
      </c>
    </row>
    <row r="675" spans="1:7" ht="14.25">
      <c r="A675" s="16" t="s">
        <v>630</v>
      </c>
      <c r="B675" s="18">
        <v>88316</v>
      </c>
      <c r="C675" s="17" t="s">
        <v>67</v>
      </c>
      <c r="D675" s="18" t="s">
        <v>17</v>
      </c>
      <c r="E675" s="23">
        <f>E676</f>
        <v>0.05555555555555555</v>
      </c>
      <c r="F675" s="74"/>
      <c r="G675" s="74"/>
    </row>
    <row r="676" spans="1:7" ht="14.25">
      <c r="A676" s="16" t="s">
        <v>630</v>
      </c>
      <c r="B676" s="18">
        <v>88323</v>
      </c>
      <c r="C676" s="17" t="s">
        <v>561</v>
      </c>
      <c r="D676" s="18" t="s">
        <v>17</v>
      </c>
      <c r="E676" s="23">
        <f>(4*22)/1584</f>
        <v>0.05555555555555555</v>
      </c>
      <c r="F676" s="74"/>
      <c r="G676" s="74"/>
    </row>
    <row r="678" spans="1:7" ht="14.25">
      <c r="A678" s="17"/>
      <c r="B678" s="17"/>
      <c r="C678" s="17" t="s">
        <v>24</v>
      </c>
      <c r="D678" s="18" t="s">
        <v>25</v>
      </c>
      <c r="E678" s="19" t="s">
        <v>47</v>
      </c>
      <c r="F678" s="18"/>
      <c r="G678" s="18"/>
    </row>
    <row r="679" spans="1:7" ht="51" customHeight="1">
      <c r="A679" s="17" t="s">
        <v>35</v>
      </c>
      <c r="B679" s="20" t="s">
        <v>566</v>
      </c>
      <c r="C679" s="20" t="s">
        <v>571</v>
      </c>
      <c r="D679" s="21" t="s">
        <v>16</v>
      </c>
      <c r="E679" s="72" t="e">
        <f>AVERAGE(G681:G681)</f>
        <v>#DIV/0!</v>
      </c>
      <c r="F679" s="18"/>
      <c r="G679" s="18"/>
    </row>
    <row r="680" spans="1:7" ht="14.25">
      <c r="A680" s="17"/>
      <c r="B680" s="17" t="s">
        <v>2</v>
      </c>
      <c r="C680" s="17" t="s">
        <v>27</v>
      </c>
      <c r="D680" s="18" t="s">
        <v>25</v>
      </c>
      <c r="E680" s="19" t="s">
        <v>28</v>
      </c>
      <c r="F680" s="18" t="s">
        <v>29</v>
      </c>
      <c r="G680" s="18" t="s">
        <v>30</v>
      </c>
    </row>
    <row r="681" spans="1:7" ht="14.25">
      <c r="A681" s="17" t="s">
        <v>32</v>
      </c>
      <c r="B681" s="22" t="s">
        <v>39</v>
      </c>
      <c r="C681" s="101" t="s">
        <v>572</v>
      </c>
      <c r="D681" s="18" t="s">
        <v>12</v>
      </c>
      <c r="E681" s="23">
        <v>1</v>
      </c>
      <c r="F681" s="74"/>
      <c r="G681" s="74"/>
    </row>
    <row r="682" spans="1:7" ht="14.25">
      <c r="A682" s="25"/>
      <c r="B682" s="25"/>
      <c r="C682" s="25"/>
      <c r="D682" s="26"/>
      <c r="E682" s="27"/>
      <c r="F682" s="26"/>
      <c r="G682" s="26"/>
    </row>
    <row r="683" spans="1:7" ht="14.25">
      <c r="A683" s="17"/>
      <c r="B683" s="17"/>
      <c r="C683" s="17" t="s">
        <v>24</v>
      </c>
      <c r="D683" s="18" t="s">
        <v>25</v>
      </c>
      <c r="E683" s="19" t="s">
        <v>47</v>
      </c>
      <c r="F683" s="18"/>
      <c r="G683" s="18"/>
    </row>
    <row r="684" spans="1:7" ht="51">
      <c r="A684" s="17" t="s">
        <v>26</v>
      </c>
      <c r="B684" s="20" t="s">
        <v>567</v>
      </c>
      <c r="C684" s="20" t="str">
        <f>C686&amp;" - FORNECIMENTO E INSTALAÇÃO"</f>
        <v>TELHA TÉRMICA SANDUÍCHE ISOTELHA TRAPEZOIDAL COM AÇO SUPERIOR BRANCO E AÇO INFERIOR TIPO FORRO BRANCO NÚCLEO EM PIR COM ESPESSURA DE 30MM LARGURA ÚTIL DE 01 METRO - FORNECIMENTO E INSTALAÇÃO</v>
      </c>
      <c r="D684" s="21" t="s">
        <v>16</v>
      </c>
      <c r="E684" s="72">
        <f>SUM(G686:G691)</f>
        <v>0</v>
      </c>
      <c r="F684" s="18"/>
      <c r="G684" s="18"/>
    </row>
    <row r="685" spans="1:7" ht="14.25">
      <c r="A685" s="17" t="s">
        <v>413</v>
      </c>
      <c r="B685" s="22" t="s">
        <v>2</v>
      </c>
      <c r="C685" s="17" t="s">
        <v>27</v>
      </c>
      <c r="D685" s="18" t="s">
        <v>25</v>
      </c>
      <c r="E685" s="23" t="s">
        <v>28</v>
      </c>
      <c r="F685" s="74" t="s">
        <v>29</v>
      </c>
      <c r="G685" s="74" t="s">
        <v>30</v>
      </c>
    </row>
    <row r="686" spans="1:7" ht="45" customHeight="1">
      <c r="A686" s="17" t="s">
        <v>32</v>
      </c>
      <c r="B686" s="22" t="str">
        <f>B679</f>
        <v>CP 037A</v>
      </c>
      <c r="C686" s="17" t="str">
        <f>C679</f>
        <v>TELHA TÉRMICA SANDUÍCHE ISOTELHA TRAPEZOIDAL COM AÇO SUPERIOR BRANCO E AÇO INFERIOR TIPO FORRO BRANCO NÚCLEO EM PIR COM ESPESSURA DE 30MM LARGURA ÚTIL DE 01 METRO</v>
      </c>
      <c r="D686" s="18" t="str">
        <f>D679</f>
        <v>M²</v>
      </c>
      <c r="E686" s="23">
        <v>1</v>
      </c>
      <c r="F686" s="74"/>
      <c r="G686" s="74"/>
    </row>
    <row r="687" spans="1:7" ht="38.25">
      <c r="A687" s="16" t="s">
        <v>630</v>
      </c>
      <c r="B687" s="22">
        <v>11029</v>
      </c>
      <c r="C687" s="17" t="s">
        <v>568</v>
      </c>
      <c r="D687" s="18" t="s">
        <v>46</v>
      </c>
      <c r="E687" s="23">
        <v>4.15</v>
      </c>
      <c r="F687" s="74"/>
      <c r="G687" s="74"/>
    </row>
    <row r="688" spans="1:7" ht="14.25">
      <c r="A688" s="16" t="s">
        <v>630</v>
      </c>
      <c r="B688" s="22">
        <v>88316</v>
      </c>
      <c r="C688" s="17" t="s">
        <v>67</v>
      </c>
      <c r="D688" s="18" t="s">
        <v>17</v>
      </c>
      <c r="E688" s="23">
        <v>0.062</v>
      </c>
      <c r="F688" s="74"/>
      <c r="G688" s="74"/>
    </row>
    <row r="689" spans="1:7" ht="14.25">
      <c r="A689" s="16" t="s">
        <v>630</v>
      </c>
      <c r="B689" s="22">
        <v>88323</v>
      </c>
      <c r="C689" s="17" t="s">
        <v>569</v>
      </c>
      <c r="D689" s="18" t="s">
        <v>17</v>
      </c>
      <c r="E689" s="23">
        <v>0.056</v>
      </c>
      <c r="F689" s="74"/>
      <c r="G689" s="74"/>
    </row>
    <row r="690" spans="1:7" ht="25.5">
      <c r="A690" s="16" t="s">
        <v>630</v>
      </c>
      <c r="B690" s="22">
        <v>93281</v>
      </c>
      <c r="C690" s="17" t="s">
        <v>570</v>
      </c>
      <c r="D690" s="18" t="s">
        <v>54</v>
      </c>
      <c r="E690" s="23">
        <v>0.0009</v>
      </c>
      <c r="F690" s="74"/>
      <c r="G690" s="74"/>
    </row>
    <row r="691" spans="1:7" ht="25.5">
      <c r="A691" s="16" t="s">
        <v>630</v>
      </c>
      <c r="B691" s="22">
        <v>93282</v>
      </c>
      <c r="C691" s="17" t="s">
        <v>570</v>
      </c>
      <c r="D691" s="18" t="s">
        <v>54</v>
      </c>
      <c r="E691" s="23">
        <v>0.0012</v>
      </c>
      <c r="F691" s="74"/>
      <c r="G691" s="74"/>
    </row>
    <row r="693" spans="1:7" ht="14.25">
      <c r="A693" s="17"/>
      <c r="B693" s="17"/>
      <c r="C693" s="17" t="s">
        <v>24</v>
      </c>
      <c r="D693" s="18" t="s">
        <v>25</v>
      </c>
      <c r="E693" s="19" t="s">
        <v>47</v>
      </c>
      <c r="F693" s="18"/>
      <c r="G693" s="18"/>
    </row>
    <row r="694" spans="1:7" ht="51">
      <c r="A694" s="17" t="s">
        <v>35</v>
      </c>
      <c r="B694" s="20" t="s">
        <v>573</v>
      </c>
      <c r="C694" s="20" t="s">
        <v>576</v>
      </c>
      <c r="D694" s="21" t="s">
        <v>16</v>
      </c>
      <c r="E694" s="72" t="e">
        <f>AVERAGE(G696:G696)</f>
        <v>#DIV/0!</v>
      </c>
      <c r="F694" s="18"/>
      <c r="G694" s="18"/>
    </row>
    <row r="695" spans="1:7" ht="14.25">
      <c r="A695" s="17"/>
      <c r="B695" s="17" t="s">
        <v>2</v>
      </c>
      <c r="C695" s="17" t="s">
        <v>27</v>
      </c>
      <c r="D695" s="18" t="s">
        <v>25</v>
      </c>
      <c r="E695" s="19" t="s">
        <v>28</v>
      </c>
      <c r="F695" s="18" t="s">
        <v>29</v>
      </c>
      <c r="G695" s="18" t="s">
        <v>30</v>
      </c>
    </row>
    <row r="696" spans="1:7" ht="38.25">
      <c r="A696" s="17" t="s">
        <v>32</v>
      </c>
      <c r="B696" s="22" t="s">
        <v>39</v>
      </c>
      <c r="C696" s="101" t="s">
        <v>575</v>
      </c>
      <c r="D696" s="18" t="s">
        <v>12</v>
      </c>
      <c r="E696" s="23">
        <v>1</v>
      </c>
      <c r="F696" s="74"/>
      <c r="G696" s="74"/>
    </row>
    <row r="697" spans="1:7" ht="14.25">
      <c r="A697" s="25"/>
      <c r="B697" s="25"/>
      <c r="C697" s="25"/>
      <c r="D697" s="26"/>
      <c r="E697" s="27"/>
      <c r="F697" s="26"/>
      <c r="G697" s="26"/>
    </row>
    <row r="698" spans="1:7" ht="14.25">
      <c r="A698" s="17"/>
      <c r="B698" s="17"/>
      <c r="C698" s="17" t="s">
        <v>24</v>
      </c>
      <c r="D698" s="18" t="s">
        <v>25</v>
      </c>
      <c r="E698" s="19" t="s">
        <v>47</v>
      </c>
      <c r="F698" s="18"/>
      <c r="G698" s="18"/>
    </row>
    <row r="699" spans="1:7" ht="63.75">
      <c r="A699" s="17" t="s">
        <v>26</v>
      </c>
      <c r="B699" s="20" t="s">
        <v>574</v>
      </c>
      <c r="C699" s="20" t="str">
        <f>C701&amp;" - FORNECIMENTO E INSTALAÇÃO"</f>
        <v>TELHA TÉRMICA SANDUÍCHE ISOTELHA TRAPEZOIDAL COM REVESTIMENTO SUPERIOR EM AÇO E REVESTIMENTO INFERIOR EM FILME ALUMÍNIO COM NÚCLEO EM PIR COM 30 MM DE ESPESSURA E LARGURA ÚTIL DE 01 METRO - FORNECIMENTO E INSTALAÇÃO</v>
      </c>
      <c r="D699" s="21" t="s">
        <v>16</v>
      </c>
      <c r="E699" s="72">
        <f>SUM(G701:G706)</f>
        <v>0</v>
      </c>
      <c r="F699" s="18"/>
      <c r="G699" s="18"/>
    </row>
    <row r="700" spans="1:7" ht="14.25">
      <c r="A700" s="17" t="s">
        <v>413</v>
      </c>
      <c r="B700" s="22" t="s">
        <v>2</v>
      </c>
      <c r="C700" s="17" t="s">
        <v>27</v>
      </c>
      <c r="D700" s="18" t="s">
        <v>25</v>
      </c>
      <c r="E700" s="23" t="s">
        <v>28</v>
      </c>
      <c r="F700" s="74" t="s">
        <v>29</v>
      </c>
      <c r="G700" s="74" t="s">
        <v>30</v>
      </c>
    </row>
    <row r="701" spans="1:7" ht="51">
      <c r="A701" s="17" t="s">
        <v>32</v>
      </c>
      <c r="B701" s="22" t="str">
        <f>B694</f>
        <v>CP 038A</v>
      </c>
      <c r="C701" s="17" t="str">
        <f>C694</f>
        <v>TELHA TÉRMICA SANDUÍCHE ISOTELHA TRAPEZOIDAL COM REVESTIMENTO SUPERIOR EM AÇO E REVESTIMENTO INFERIOR EM FILME ALUMÍNIO COM NÚCLEO EM PIR COM 30 MM DE ESPESSURA E LARGURA ÚTIL DE 01 METRO</v>
      </c>
      <c r="D701" s="18" t="str">
        <f>D694</f>
        <v>M²</v>
      </c>
      <c r="E701" s="23">
        <v>1</v>
      </c>
      <c r="F701" s="74"/>
      <c r="G701" s="74"/>
    </row>
    <row r="702" spans="1:7" ht="38.25">
      <c r="A702" s="16" t="s">
        <v>630</v>
      </c>
      <c r="B702" s="22">
        <v>11029</v>
      </c>
      <c r="C702" s="17" t="s">
        <v>568</v>
      </c>
      <c r="D702" s="18" t="s">
        <v>46</v>
      </c>
      <c r="E702" s="23">
        <v>4.15</v>
      </c>
      <c r="F702" s="74"/>
      <c r="G702" s="74"/>
    </row>
    <row r="703" spans="1:7" ht="14.25">
      <c r="A703" s="16" t="s">
        <v>630</v>
      </c>
      <c r="B703" s="22">
        <v>88316</v>
      </c>
      <c r="C703" s="17" t="s">
        <v>67</v>
      </c>
      <c r="D703" s="18" t="s">
        <v>17</v>
      </c>
      <c r="E703" s="23">
        <v>0.062</v>
      </c>
      <c r="F703" s="74"/>
      <c r="G703" s="74"/>
    </row>
    <row r="704" spans="1:7" ht="14.25">
      <c r="A704" s="16" t="s">
        <v>630</v>
      </c>
      <c r="B704" s="22">
        <v>88323</v>
      </c>
      <c r="C704" s="17" t="s">
        <v>569</v>
      </c>
      <c r="D704" s="18" t="s">
        <v>17</v>
      </c>
      <c r="E704" s="23">
        <v>0.056</v>
      </c>
      <c r="F704" s="74"/>
      <c r="G704" s="74"/>
    </row>
    <row r="705" spans="1:7" ht="25.5">
      <c r="A705" s="16" t="s">
        <v>630</v>
      </c>
      <c r="B705" s="22">
        <v>93281</v>
      </c>
      <c r="C705" s="17" t="s">
        <v>570</v>
      </c>
      <c r="D705" s="18" t="s">
        <v>54</v>
      </c>
      <c r="E705" s="23">
        <v>0.0009</v>
      </c>
      <c r="F705" s="74"/>
      <c r="G705" s="74"/>
    </row>
    <row r="706" spans="1:7" ht="25.5">
      <c r="A706" s="16" t="s">
        <v>630</v>
      </c>
      <c r="B706" s="22">
        <v>93282</v>
      </c>
      <c r="C706" s="17" t="s">
        <v>570</v>
      </c>
      <c r="D706" s="18" t="s">
        <v>54</v>
      </c>
      <c r="E706" s="23">
        <v>0.0012</v>
      </c>
      <c r="F706" s="74"/>
      <c r="G706" s="74"/>
    </row>
    <row r="708" spans="1:7" ht="14.25">
      <c r="A708" s="17"/>
      <c r="B708" s="17"/>
      <c r="C708" s="17" t="s">
        <v>24</v>
      </c>
      <c r="D708" s="18" t="s">
        <v>25</v>
      </c>
      <c r="E708" s="19" t="s">
        <v>47</v>
      </c>
      <c r="F708" s="18"/>
      <c r="G708" s="18"/>
    </row>
    <row r="709" spans="1:7" ht="36.75" customHeight="1">
      <c r="A709" s="17" t="s">
        <v>35</v>
      </c>
      <c r="B709" s="20" t="s">
        <v>577</v>
      </c>
      <c r="C709" s="20" t="s">
        <v>579</v>
      </c>
      <c r="D709" s="21" t="s">
        <v>18</v>
      </c>
      <c r="E709" s="72" t="e">
        <f>AVERAGE(G711:G711)</f>
        <v>#DIV/0!</v>
      </c>
      <c r="F709" s="18"/>
      <c r="G709" s="18"/>
    </row>
    <row r="710" spans="1:7" ht="14.25">
      <c r="A710" s="17"/>
      <c r="B710" s="17" t="s">
        <v>2</v>
      </c>
      <c r="C710" s="17" t="s">
        <v>27</v>
      </c>
      <c r="D710" s="18" t="s">
        <v>25</v>
      </c>
      <c r="E710" s="19" t="s">
        <v>28</v>
      </c>
      <c r="F710" s="18" t="s">
        <v>29</v>
      </c>
      <c r="G710" s="18" t="s">
        <v>30</v>
      </c>
    </row>
    <row r="711" spans="1:7" ht="25.5">
      <c r="A711" s="17" t="s">
        <v>32</v>
      </c>
      <c r="B711" s="22" t="s">
        <v>39</v>
      </c>
      <c r="C711" s="101" t="s">
        <v>580</v>
      </c>
      <c r="D711" s="18" t="s">
        <v>12</v>
      </c>
      <c r="E711" s="23">
        <v>1</v>
      </c>
      <c r="F711" s="74"/>
      <c r="G711" s="74"/>
    </row>
    <row r="712" spans="1:7" ht="14.25">
      <c r="A712" s="25"/>
      <c r="B712" s="25"/>
      <c r="C712" s="25"/>
      <c r="D712" s="26"/>
      <c r="E712" s="27"/>
      <c r="F712" s="26"/>
      <c r="G712" s="26"/>
    </row>
    <row r="713" spans="1:7" ht="14.25">
      <c r="A713" s="17"/>
      <c r="B713" s="17"/>
      <c r="C713" s="17" t="s">
        <v>24</v>
      </c>
      <c r="D713" s="18" t="s">
        <v>25</v>
      </c>
      <c r="E713" s="19" t="s">
        <v>47</v>
      </c>
      <c r="F713" s="18"/>
      <c r="G713" s="18"/>
    </row>
    <row r="714" spans="1:7" ht="25.5">
      <c r="A714" s="17" t="s">
        <v>26</v>
      </c>
      <c r="B714" s="20" t="s">
        <v>578</v>
      </c>
      <c r="C714" s="20" t="str">
        <f>C716&amp;" - FORNECIMENTO E INSTALAÇÃO"</f>
        <v>CUMEEIRA PARA TELHA METÁLICA TP40- GALVALUME - FORNECIMENTO E INSTALAÇÃO</v>
      </c>
      <c r="D714" s="21" t="s">
        <v>18</v>
      </c>
      <c r="E714" s="72">
        <f>SUM(G716:G722)</f>
        <v>0</v>
      </c>
      <c r="F714" s="18"/>
      <c r="G714" s="18"/>
    </row>
    <row r="715" spans="1:7" ht="14.25">
      <c r="A715" s="17" t="s">
        <v>413</v>
      </c>
      <c r="B715" s="22" t="s">
        <v>2</v>
      </c>
      <c r="C715" s="17" t="s">
        <v>27</v>
      </c>
      <c r="D715" s="18" t="s">
        <v>25</v>
      </c>
      <c r="E715" s="23" t="s">
        <v>28</v>
      </c>
      <c r="F715" s="74" t="s">
        <v>29</v>
      </c>
      <c r="G715" s="74" t="s">
        <v>30</v>
      </c>
    </row>
    <row r="716" spans="1:7" ht="14.25">
      <c r="A716" s="17" t="s">
        <v>32</v>
      </c>
      <c r="B716" s="22" t="str">
        <f>B709</f>
        <v>CP 039A</v>
      </c>
      <c r="C716" s="17" t="str">
        <f>C709</f>
        <v>CUMEEIRA PARA TELHA METÁLICA TP40- GALVALUME</v>
      </c>
      <c r="D716" s="18" t="str">
        <f>D709</f>
        <v>M</v>
      </c>
      <c r="E716" s="23">
        <v>1</v>
      </c>
      <c r="F716" s="74"/>
      <c r="G716" s="74"/>
    </row>
    <row r="717" spans="1:7" ht="14.25">
      <c r="A717" s="16" t="s">
        <v>630</v>
      </c>
      <c r="B717" s="22">
        <v>1607</v>
      </c>
      <c r="C717" s="17" t="s">
        <v>581</v>
      </c>
      <c r="D717" s="18" t="s">
        <v>46</v>
      </c>
      <c r="E717" s="23">
        <v>4.2</v>
      </c>
      <c r="F717" s="74"/>
      <c r="G717" s="74"/>
    </row>
    <row r="718" spans="1:7" ht="14.25">
      <c r="A718" s="16" t="s">
        <v>630</v>
      </c>
      <c r="B718" s="22">
        <v>88316</v>
      </c>
      <c r="C718" s="17" t="s">
        <v>67</v>
      </c>
      <c r="D718" s="18" t="s">
        <v>17</v>
      </c>
      <c r="E718" s="23">
        <v>0.062</v>
      </c>
      <c r="F718" s="74"/>
      <c r="G718" s="74"/>
    </row>
    <row r="719" spans="1:7" ht="14.25">
      <c r="A719" s="16" t="s">
        <v>630</v>
      </c>
      <c r="B719" s="22">
        <v>88323</v>
      </c>
      <c r="C719" s="17" t="s">
        <v>569</v>
      </c>
      <c r="D719" s="18" t="s">
        <v>17</v>
      </c>
      <c r="E719" s="23">
        <v>0.056</v>
      </c>
      <c r="F719" s="74"/>
      <c r="G719" s="74"/>
    </row>
    <row r="720" spans="1:7" ht="25.5">
      <c r="A720" s="16" t="s">
        <v>630</v>
      </c>
      <c r="B720" s="22">
        <v>4302</v>
      </c>
      <c r="C720" s="17" t="s">
        <v>582</v>
      </c>
      <c r="D720" s="18" t="s">
        <v>25</v>
      </c>
      <c r="E720" s="23">
        <v>4.2</v>
      </c>
      <c r="F720" s="74"/>
      <c r="G720" s="74"/>
    </row>
    <row r="721" spans="1:7" ht="25.5">
      <c r="A721" s="16" t="s">
        <v>630</v>
      </c>
      <c r="B721" s="22">
        <v>93281</v>
      </c>
      <c r="C721" s="17" t="s">
        <v>570</v>
      </c>
      <c r="D721" s="18" t="s">
        <v>54</v>
      </c>
      <c r="E721" s="23">
        <v>0.0009</v>
      </c>
      <c r="F721" s="74"/>
      <c r="G721" s="74"/>
    </row>
    <row r="722" spans="1:7" ht="25.5">
      <c r="A722" s="16" t="s">
        <v>630</v>
      </c>
      <c r="B722" s="22">
        <v>93282</v>
      </c>
      <c r="C722" s="17" t="s">
        <v>570</v>
      </c>
      <c r="D722" s="18" t="s">
        <v>54</v>
      </c>
      <c r="E722" s="23">
        <v>0.0012</v>
      </c>
      <c r="F722" s="74"/>
      <c r="G722" s="74"/>
    </row>
    <row r="724" spans="1:7" ht="14.25">
      <c r="A724" s="17"/>
      <c r="B724" s="17"/>
      <c r="C724" s="17" t="s">
        <v>24</v>
      </c>
      <c r="D724" s="18" t="s">
        <v>25</v>
      </c>
      <c r="E724" s="19" t="s">
        <v>47</v>
      </c>
      <c r="F724" s="18"/>
      <c r="G724" s="18"/>
    </row>
    <row r="725" spans="1:7" ht="38.25">
      <c r="A725" s="17" t="s">
        <v>26</v>
      </c>
      <c r="B725" s="20" t="s">
        <v>590</v>
      </c>
      <c r="C725" s="20" t="s">
        <v>594</v>
      </c>
      <c r="D725" s="21" t="s">
        <v>25</v>
      </c>
      <c r="E725" s="72">
        <f>SUM(G727:G727)</f>
        <v>0</v>
      </c>
      <c r="F725" s="18"/>
      <c r="G725" s="18"/>
    </row>
    <row r="726" spans="1:7" ht="14.25">
      <c r="A726" s="17" t="s">
        <v>413</v>
      </c>
      <c r="B726" s="22" t="s">
        <v>2</v>
      </c>
      <c r="C726" s="17" t="s">
        <v>27</v>
      </c>
      <c r="D726" s="18" t="s">
        <v>25</v>
      </c>
      <c r="E726" s="23" t="s">
        <v>28</v>
      </c>
      <c r="F726" s="74" t="s">
        <v>29</v>
      </c>
      <c r="G726" s="74" t="s">
        <v>30</v>
      </c>
    </row>
    <row r="727" spans="1:7" ht="40.5" customHeight="1">
      <c r="A727" s="16" t="s">
        <v>630</v>
      </c>
      <c r="B727" s="22">
        <v>37561</v>
      </c>
      <c r="C727" s="17" t="s">
        <v>589</v>
      </c>
      <c r="D727" s="18" t="s">
        <v>90</v>
      </c>
      <c r="E727" s="23">
        <f>6.1*4</f>
        <v>24.4</v>
      </c>
      <c r="F727" s="74"/>
      <c r="G727" s="74"/>
    </row>
    <row r="729" spans="1:7" ht="14.25">
      <c r="A729" s="17"/>
      <c r="B729" s="17"/>
      <c r="C729" s="17" t="s">
        <v>24</v>
      </c>
      <c r="D729" s="18" t="s">
        <v>25</v>
      </c>
      <c r="E729" s="19" t="s">
        <v>47</v>
      </c>
      <c r="F729" s="18"/>
      <c r="G729" s="18"/>
    </row>
    <row r="730" spans="1:7" ht="38.25">
      <c r="A730" s="17" t="s">
        <v>26</v>
      </c>
      <c r="B730" s="20" t="s">
        <v>591</v>
      </c>
      <c r="C730" s="20" t="s">
        <v>593</v>
      </c>
      <c r="D730" s="21" t="s">
        <v>25</v>
      </c>
      <c r="E730" s="72">
        <f>SUM(G732:G732)</f>
        <v>0</v>
      </c>
      <c r="F730" s="18"/>
      <c r="G730" s="18"/>
    </row>
    <row r="731" spans="1:7" ht="14.25">
      <c r="A731" s="17" t="s">
        <v>413</v>
      </c>
      <c r="B731" s="22" t="s">
        <v>2</v>
      </c>
      <c r="C731" s="17" t="s">
        <v>27</v>
      </c>
      <c r="D731" s="18" t="s">
        <v>25</v>
      </c>
      <c r="E731" s="23" t="s">
        <v>28</v>
      </c>
      <c r="F731" s="74" t="s">
        <v>29</v>
      </c>
      <c r="G731" s="74" t="s">
        <v>30</v>
      </c>
    </row>
    <row r="732" spans="1:7" ht="38.25">
      <c r="A732" s="16" t="s">
        <v>630</v>
      </c>
      <c r="B732" s="22">
        <v>37561</v>
      </c>
      <c r="C732" s="17" t="s">
        <v>197</v>
      </c>
      <c r="D732" s="18" t="s">
        <v>90</v>
      </c>
      <c r="E732" s="23">
        <f>4.35*4</f>
        <v>17.4</v>
      </c>
      <c r="F732" s="74"/>
      <c r="G732" s="74"/>
    </row>
    <row r="734" spans="1:7" ht="14.25">
      <c r="A734" s="17"/>
      <c r="B734" s="17"/>
      <c r="C734" s="17" t="s">
        <v>24</v>
      </c>
      <c r="D734" s="18" t="s">
        <v>25</v>
      </c>
      <c r="E734" s="19" t="s">
        <v>47</v>
      </c>
      <c r="F734" s="18"/>
      <c r="G734" s="18"/>
    </row>
    <row r="735" spans="1:7" ht="38.25">
      <c r="A735" s="17" t="s">
        <v>26</v>
      </c>
      <c r="B735" s="20" t="s">
        <v>592</v>
      </c>
      <c r="C735" s="20" t="s">
        <v>600</v>
      </c>
      <c r="D735" s="21" t="s">
        <v>25</v>
      </c>
      <c r="E735" s="72">
        <f>SUM(G737:G737)</f>
        <v>0</v>
      </c>
      <c r="F735" s="18"/>
      <c r="G735" s="18"/>
    </row>
    <row r="736" spans="1:7" ht="14.25">
      <c r="A736" s="17" t="s">
        <v>413</v>
      </c>
      <c r="B736" s="22" t="s">
        <v>2</v>
      </c>
      <c r="C736" s="17" t="s">
        <v>27</v>
      </c>
      <c r="D736" s="18" t="s">
        <v>25</v>
      </c>
      <c r="E736" s="23" t="s">
        <v>28</v>
      </c>
      <c r="F736" s="74" t="s">
        <v>29</v>
      </c>
      <c r="G736" s="74" t="s">
        <v>30</v>
      </c>
    </row>
    <row r="737" spans="1:7" ht="38.25">
      <c r="A737" s="16" t="s">
        <v>630</v>
      </c>
      <c r="B737" s="22">
        <v>37561</v>
      </c>
      <c r="C737" s="17" t="s">
        <v>197</v>
      </c>
      <c r="D737" s="18" t="s">
        <v>90</v>
      </c>
      <c r="E737" s="23">
        <f>2.4*2.5</f>
        <v>6</v>
      </c>
      <c r="F737" s="74"/>
      <c r="G737" s="74"/>
    </row>
    <row r="739" spans="1:7" ht="14.25">
      <c r="A739" s="17"/>
      <c r="B739" s="17"/>
      <c r="C739" s="17" t="s">
        <v>24</v>
      </c>
      <c r="D739" s="18" t="s">
        <v>25</v>
      </c>
      <c r="E739" s="19" t="s">
        <v>47</v>
      </c>
      <c r="F739" s="18"/>
      <c r="G739" s="18"/>
    </row>
    <row r="740" spans="1:7" ht="38.25">
      <c r="A740" s="17" t="s">
        <v>26</v>
      </c>
      <c r="B740" s="20" t="s">
        <v>595</v>
      </c>
      <c r="C740" s="20" t="s">
        <v>598</v>
      </c>
      <c r="D740" s="21" t="s">
        <v>25</v>
      </c>
      <c r="E740" s="72">
        <f>SUM(G742:G742)</f>
        <v>0</v>
      </c>
      <c r="F740" s="18"/>
      <c r="G740" s="18"/>
    </row>
    <row r="741" spans="1:7" ht="14.25">
      <c r="A741" s="17" t="s">
        <v>413</v>
      </c>
      <c r="B741" s="22" t="s">
        <v>2</v>
      </c>
      <c r="C741" s="17" t="s">
        <v>27</v>
      </c>
      <c r="D741" s="18" t="s">
        <v>25</v>
      </c>
      <c r="E741" s="23" t="s">
        <v>28</v>
      </c>
      <c r="F741" s="74" t="s">
        <v>29</v>
      </c>
      <c r="G741" s="74" t="s">
        <v>30</v>
      </c>
    </row>
    <row r="742" spans="1:7" ht="38.25">
      <c r="A742" s="16" t="s">
        <v>630</v>
      </c>
      <c r="B742" s="22">
        <v>37561</v>
      </c>
      <c r="C742" s="17" t="s">
        <v>197</v>
      </c>
      <c r="D742" s="18" t="s">
        <v>90</v>
      </c>
      <c r="E742" s="23">
        <f>5*3.5</f>
        <v>17.5</v>
      </c>
      <c r="F742" s="74"/>
      <c r="G742" s="74"/>
    </row>
    <row r="744" spans="1:7" ht="14.25">
      <c r="A744" s="17"/>
      <c r="B744" s="17"/>
      <c r="C744" s="17" t="s">
        <v>24</v>
      </c>
      <c r="D744" s="18" t="s">
        <v>25</v>
      </c>
      <c r="E744" s="19" t="s">
        <v>47</v>
      </c>
      <c r="F744" s="18"/>
      <c r="G744" s="18"/>
    </row>
    <row r="745" spans="1:7" ht="38.25">
      <c r="A745" s="17" t="s">
        <v>26</v>
      </c>
      <c r="B745" s="20" t="s">
        <v>596</v>
      </c>
      <c r="C745" s="20" t="s">
        <v>601</v>
      </c>
      <c r="D745" s="21" t="s">
        <v>25</v>
      </c>
      <c r="E745" s="72">
        <f>SUM(G747:G747)</f>
        <v>0</v>
      </c>
      <c r="F745" s="18"/>
      <c r="G745" s="18"/>
    </row>
    <row r="746" spans="1:7" ht="14.25">
      <c r="A746" s="17" t="s">
        <v>413</v>
      </c>
      <c r="B746" s="22" t="s">
        <v>2</v>
      </c>
      <c r="C746" s="17" t="s">
        <v>27</v>
      </c>
      <c r="D746" s="18" t="s">
        <v>25</v>
      </c>
      <c r="E746" s="23" t="s">
        <v>28</v>
      </c>
      <c r="F746" s="74" t="s">
        <v>29</v>
      </c>
      <c r="G746" s="74" t="s">
        <v>30</v>
      </c>
    </row>
    <row r="747" spans="1:7" ht="38.25">
      <c r="A747" s="16" t="s">
        <v>630</v>
      </c>
      <c r="B747" s="22">
        <v>37561</v>
      </c>
      <c r="C747" s="17" t="s">
        <v>197</v>
      </c>
      <c r="D747" s="18" t="s">
        <v>90</v>
      </c>
      <c r="E747" s="23">
        <f>3*6</f>
        <v>18</v>
      </c>
      <c r="F747" s="74"/>
      <c r="G747" s="74"/>
    </row>
    <row r="749" spans="1:7" ht="14.25">
      <c r="A749" s="17"/>
      <c r="B749" s="17"/>
      <c r="C749" s="17" t="s">
        <v>24</v>
      </c>
      <c r="D749" s="18" t="s">
        <v>25</v>
      </c>
      <c r="E749" s="19" t="s">
        <v>47</v>
      </c>
      <c r="F749" s="18"/>
      <c r="G749" s="18"/>
    </row>
    <row r="750" spans="1:7" ht="38.25">
      <c r="A750" s="17" t="s">
        <v>26</v>
      </c>
      <c r="B750" s="20" t="s">
        <v>597</v>
      </c>
      <c r="C750" s="20" t="s">
        <v>602</v>
      </c>
      <c r="D750" s="21" t="s">
        <v>25</v>
      </c>
      <c r="E750" s="72">
        <f>SUM(G752:G752)</f>
        <v>0</v>
      </c>
      <c r="F750" s="18"/>
      <c r="G750" s="18"/>
    </row>
    <row r="751" spans="1:7" ht="14.25">
      <c r="A751" s="17" t="s">
        <v>413</v>
      </c>
      <c r="B751" s="22" t="s">
        <v>2</v>
      </c>
      <c r="C751" s="17" t="s">
        <v>27</v>
      </c>
      <c r="D751" s="18" t="s">
        <v>25</v>
      </c>
      <c r="E751" s="23" t="s">
        <v>28</v>
      </c>
      <c r="F751" s="74" t="s">
        <v>29</v>
      </c>
      <c r="G751" s="74" t="s">
        <v>30</v>
      </c>
    </row>
    <row r="752" spans="1:7" ht="38.25">
      <c r="A752" s="16" t="s">
        <v>630</v>
      </c>
      <c r="B752" s="22">
        <v>37561</v>
      </c>
      <c r="C752" s="17" t="s">
        <v>197</v>
      </c>
      <c r="D752" s="18" t="s">
        <v>90</v>
      </c>
      <c r="E752" s="23">
        <f>2.8*3.6</f>
        <v>10.08</v>
      </c>
      <c r="F752" s="74"/>
      <c r="G752" s="74"/>
    </row>
    <row r="753" spans="1:7" ht="14.25">
      <c r="A753" s="30"/>
      <c r="B753" s="102"/>
      <c r="C753" s="103"/>
      <c r="D753" s="104"/>
      <c r="E753" s="105"/>
      <c r="F753" s="28"/>
      <c r="G753" s="28"/>
    </row>
    <row r="754" spans="1:7" ht="14.25">
      <c r="A754" s="17"/>
      <c r="B754" s="17"/>
      <c r="C754" s="17" t="s">
        <v>24</v>
      </c>
      <c r="D754" s="18" t="s">
        <v>25</v>
      </c>
      <c r="E754" s="19" t="s">
        <v>47</v>
      </c>
      <c r="F754" s="18"/>
      <c r="G754" s="18"/>
    </row>
    <row r="755" spans="1:7" ht="50.25" customHeight="1">
      <c r="A755" s="17" t="s">
        <v>35</v>
      </c>
      <c r="B755" s="20" t="s">
        <v>606</v>
      </c>
      <c r="C755" s="20" t="s">
        <v>608</v>
      </c>
      <c r="D755" s="21" t="s">
        <v>25</v>
      </c>
      <c r="E755" s="72" t="e">
        <f>AVERAGE(G757:G759)</f>
        <v>#DIV/0!</v>
      </c>
      <c r="F755" s="18"/>
      <c r="G755" s="18"/>
    </row>
    <row r="756" spans="1:7" ht="14.25">
      <c r="A756" s="17"/>
      <c r="B756" s="17" t="s">
        <v>2</v>
      </c>
      <c r="C756" s="17" t="s">
        <v>27</v>
      </c>
      <c r="D756" s="18" t="s">
        <v>25</v>
      </c>
      <c r="E756" s="19" t="s">
        <v>28</v>
      </c>
      <c r="F756" s="18" t="s">
        <v>29</v>
      </c>
      <c r="G756" s="18" t="s">
        <v>30</v>
      </c>
    </row>
    <row r="757" spans="1:7" ht="14.25">
      <c r="A757" s="17" t="s">
        <v>32</v>
      </c>
      <c r="B757" s="22" t="s">
        <v>39</v>
      </c>
      <c r="C757" s="17" t="s">
        <v>607</v>
      </c>
      <c r="D757" s="18" t="s">
        <v>25</v>
      </c>
      <c r="E757" s="23">
        <v>1</v>
      </c>
      <c r="F757" s="74"/>
      <c r="G757" s="74"/>
    </row>
    <row r="758" spans="1:7" ht="14.25">
      <c r="A758" s="17" t="s">
        <v>32</v>
      </c>
      <c r="B758" s="29" t="s">
        <v>40</v>
      </c>
      <c r="C758" s="17" t="s">
        <v>609</v>
      </c>
      <c r="D758" s="18" t="s">
        <v>25</v>
      </c>
      <c r="E758" s="23">
        <v>1</v>
      </c>
      <c r="F758" s="74"/>
      <c r="G758" s="74"/>
    </row>
    <row r="759" spans="1:7" ht="14.25">
      <c r="A759" s="17" t="s">
        <v>32</v>
      </c>
      <c r="B759" s="29" t="s">
        <v>43</v>
      </c>
      <c r="C759" s="17" t="s">
        <v>531</v>
      </c>
      <c r="D759" s="18" t="s">
        <v>25</v>
      </c>
      <c r="E759" s="23">
        <v>1</v>
      </c>
      <c r="F759" s="74"/>
      <c r="G759" s="74"/>
    </row>
    <row r="761" spans="1:7" ht="14.25">
      <c r="A761" s="17"/>
      <c r="B761" s="17"/>
      <c r="C761" s="17" t="s">
        <v>24</v>
      </c>
      <c r="D761" s="18" t="s">
        <v>25</v>
      </c>
      <c r="E761" s="19" t="s">
        <v>47</v>
      </c>
      <c r="F761" s="18"/>
      <c r="G761" s="18"/>
    </row>
    <row r="762" spans="1:7" ht="38.25">
      <c r="A762" s="17" t="s">
        <v>26</v>
      </c>
      <c r="B762" s="20" t="s">
        <v>599</v>
      </c>
      <c r="C762" s="20" t="s">
        <v>604</v>
      </c>
      <c r="D762" s="21" t="s">
        <v>25</v>
      </c>
      <c r="E762" s="72">
        <f>SUM(G765:G765)</f>
        <v>0</v>
      </c>
      <c r="F762" s="18"/>
      <c r="G762" s="18"/>
    </row>
    <row r="763" spans="1:7" ht="14.25">
      <c r="A763" s="17" t="s">
        <v>413</v>
      </c>
      <c r="B763" s="22" t="s">
        <v>2</v>
      </c>
      <c r="C763" s="17" t="s">
        <v>27</v>
      </c>
      <c r="D763" s="18" t="s">
        <v>25</v>
      </c>
      <c r="E763" s="23" t="s">
        <v>28</v>
      </c>
      <c r="F763" s="74" t="s">
        <v>29</v>
      </c>
      <c r="G763" s="74" t="s">
        <v>30</v>
      </c>
    </row>
    <row r="764" spans="1:7" ht="45.75" customHeight="1">
      <c r="A764" s="17" t="s">
        <v>32</v>
      </c>
      <c r="B764" s="22" t="str">
        <f>B755</f>
        <v>CP 046A</v>
      </c>
      <c r="C764" s="17" t="str">
        <f>C755</f>
        <v>KIT MOTOR PORTÃO ROSSI DZ4 SK 800KG 1/3 DESLIZANTE AUTOMÁTICO DE CORRER ELETRÔNICO COM ABERTURA RÁPIDA + CREMALHEIRA DE 6M</v>
      </c>
      <c r="D764" s="18" t="str">
        <f>D755</f>
        <v>Unid</v>
      </c>
      <c r="E764" s="23">
        <v>1</v>
      </c>
      <c r="F764" s="74"/>
      <c r="G764" s="74"/>
    </row>
    <row r="765" spans="1:7" ht="38.25">
      <c r="A765" s="16" t="s">
        <v>630</v>
      </c>
      <c r="B765" s="22">
        <v>37561</v>
      </c>
      <c r="C765" s="17" t="s">
        <v>197</v>
      </c>
      <c r="D765" s="18" t="s">
        <v>90</v>
      </c>
      <c r="E765" s="23">
        <f>6*2.05</f>
        <v>12.299999999999999</v>
      </c>
      <c r="F765" s="74"/>
      <c r="G765" s="74"/>
    </row>
    <row r="767" spans="1:7" ht="14.25">
      <c r="A767" s="17"/>
      <c r="B767" s="17"/>
      <c r="C767" s="17" t="s">
        <v>24</v>
      </c>
      <c r="D767" s="18" t="s">
        <v>25</v>
      </c>
      <c r="E767" s="19" t="s">
        <v>47</v>
      </c>
      <c r="F767" s="18"/>
      <c r="G767" s="18"/>
    </row>
    <row r="768" spans="1:7" ht="38.25">
      <c r="A768" s="17" t="s">
        <v>26</v>
      </c>
      <c r="B768" s="20" t="s">
        <v>603</v>
      </c>
      <c r="C768" s="20" t="s">
        <v>617</v>
      </c>
      <c r="D768" s="21" t="s">
        <v>25</v>
      </c>
      <c r="E768" s="72">
        <f>SUM(G771:G771)</f>
        <v>0</v>
      </c>
      <c r="F768" s="18"/>
      <c r="G768" s="18"/>
    </row>
    <row r="769" spans="1:7" ht="14.25">
      <c r="A769" s="17" t="s">
        <v>413</v>
      </c>
      <c r="B769" s="22" t="s">
        <v>2</v>
      </c>
      <c r="C769" s="17" t="s">
        <v>27</v>
      </c>
      <c r="D769" s="18" t="s">
        <v>25</v>
      </c>
      <c r="E769" s="23" t="s">
        <v>28</v>
      </c>
      <c r="F769" s="74" t="s">
        <v>29</v>
      </c>
      <c r="G769" s="74" t="s">
        <v>30</v>
      </c>
    </row>
    <row r="770" spans="1:7" ht="38.25">
      <c r="A770" s="17" t="s">
        <v>32</v>
      </c>
      <c r="B770" s="22" t="str">
        <f>B755</f>
        <v>CP 046A</v>
      </c>
      <c r="C770" s="17" t="str">
        <f>C755</f>
        <v>KIT MOTOR PORTÃO ROSSI DZ4 SK 800KG 1/3 DESLIZANTE AUTOMÁTICO DE CORRER ELETRÔNICO COM ABERTURA RÁPIDA + CREMALHEIRA DE 6M</v>
      </c>
      <c r="D770" s="18" t="str">
        <f>D755</f>
        <v>Unid</v>
      </c>
      <c r="E770" s="23">
        <v>1</v>
      </c>
      <c r="F770" s="74"/>
      <c r="G770" s="74"/>
    </row>
    <row r="771" spans="1:7" ht="38.25">
      <c r="A771" s="16" t="s">
        <v>630</v>
      </c>
      <c r="B771" s="22">
        <v>37561</v>
      </c>
      <c r="C771" s="17" t="s">
        <v>197</v>
      </c>
      <c r="D771" s="18" t="s">
        <v>90</v>
      </c>
      <c r="E771" s="23">
        <f>3.5*3</f>
        <v>10.5</v>
      </c>
      <c r="F771" s="74"/>
      <c r="G771" s="74"/>
    </row>
    <row r="773" spans="1:7" ht="14.25">
      <c r="A773" s="17"/>
      <c r="B773" s="17"/>
      <c r="C773" s="17" t="s">
        <v>24</v>
      </c>
      <c r="D773" s="18" t="s">
        <v>25</v>
      </c>
      <c r="E773" s="19" t="s">
        <v>47</v>
      </c>
      <c r="F773" s="18"/>
      <c r="G773" s="18"/>
    </row>
    <row r="774" spans="1:7" ht="38.25">
      <c r="A774" s="17" t="s">
        <v>26</v>
      </c>
      <c r="B774" s="20" t="s">
        <v>605</v>
      </c>
      <c r="C774" s="20" t="s">
        <v>618</v>
      </c>
      <c r="D774" s="21" t="s">
        <v>25</v>
      </c>
      <c r="E774" s="72">
        <f>SUM(G777:G777)</f>
        <v>0</v>
      </c>
      <c r="F774" s="18"/>
      <c r="G774" s="18"/>
    </row>
    <row r="775" spans="1:7" ht="14.25">
      <c r="A775" s="17" t="s">
        <v>413</v>
      </c>
      <c r="B775" s="22" t="s">
        <v>2</v>
      </c>
      <c r="C775" s="17" t="s">
        <v>27</v>
      </c>
      <c r="D775" s="18" t="s">
        <v>25</v>
      </c>
      <c r="E775" s="23" t="s">
        <v>28</v>
      </c>
      <c r="F775" s="74" t="s">
        <v>29</v>
      </c>
      <c r="G775" s="74" t="s">
        <v>30</v>
      </c>
    </row>
    <row r="776" spans="1:7" ht="40.5" customHeight="1">
      <c r="A776" s="17" t="s">
        <v>32</v>
      </c>
      <c r="B776" s="22" t="str">
        <f>B755</f>
        <v>CP 046A</v>
      </c>
      <c r="C776" s="17" t="str">
        <f>C755</f>
        <v>KIT MOTOR PORTÃO ROSSI DZ4 SK 800KG 1/3 DESLIZANTE AUTOMÁTICO DE CORRER ELETRÔNICO COM ABERTURA RÁPIDA + CREMALHEIRA DE 6M</v>
      </c>
      <c r="D776" s="18" t="str">
        <f>D755</f>
        <v>Unid</v>
      </c>
      <c r="E776" s="23">
        <v>1</v>
      </c>
      <c r="F776" s="74"/>
      <c r="G776" s="74"/>
    </row>
    <row r="777" spans="1:7" ht="38.25">
      <c r="A777" s="16" t="s">
        <v>630</v>
      </c>
      <c r="B777" s="22">
        <v>37561</v>
      </c>
      <c r="C777" s="17" t="s">
        <v>197</v>
      </c>
      <c r="D777" s="18" t="s">
        <v>90</v>
      </c>
      <c r="E777" s="23">
        <f>4*3</f>
        <v>12</v>
      </c>
      <c r="F777" s="74"/>
      <c r="G777" s="74"/>
    </row>
    <row r="779" spans="1:7" ht="14.25">
      <c r="A779" s="17"/>
      <c r="B779" s="17"/>
      <c r="C779" s="17" t="s">
        <v>24</v>
      </c>
      <c r="D779" s="18" t="s">
        <v>25</v>
      </c>
      <c r="E779" s="19" t="s">
        <v>47</v>
      </c>
      <c r="F779" s="18"/>
      <c r="G779" s="18"/>
    </row>
    <row r="780" spans="1:7" ht="38.25">
      <c r="A780" s="17" t="s">
        <v>26</v>
      </c>
      <c r="B780" s="20" t="s">
        <v>612</v>
      </c>
      <c r="C780" s="20" t="s">
        <v>611</v>
      </c>
      <c r="D780" s="21" t="s">
        <v>18</v>
      </c>
      <c r="E780" s="72">
        <f>SUM(G782:G782)</f>
        <v>0</v>
      </c>
      <c r="F780" s="18"/>
      <c r="G780" s="18"/>
    </row>
    <row r="781" spans="1:7" ht="14.25">
      <c r="A781" s="17" t="s">
        <v>413</v>
      </c>
      <c r="B781" s="22" t="s">
        <v>2</v>
      </c>
      <c r="C781" s="17" t="s">
        <v>27</v>
      </c>
      <c r="D781" s="18" t="s">
        <v>25</v>
      </c>
      <c r="E781" s="23" t="s">
        <v>28</v>
      </c>
      <c r="F781" s="74" t="s">
        <v>29</v>
      </c>
      <c r="G781" s="74" t="s">
        <v>30</v>
      </c>
    </row>
    <row r="782" spans="1:7" ht="30" customHeight="1">
      <c r="A782" s="16" t="s">
        <v>630</v>
      </c>
      <c r="B782" s="22">
        <v>94229</v>
      </c>
      <c r="C782" s="17" t="s">
        <v>610</v>
      </c>
      <c r="D782" s="18" t="s">
        <v>18</v>
      </c>
      <c r="E782" s="23">
        <v>2.25</v>
      </c>
      <c r="F782" s="74"/>
      <c r="G782" s="74"/>
    </row>
    <row r="784" spans="1:7" ht="14.25">
      <c r="A784" s="17"/>
      <c r="B784" s="17"/>
      <c r="C784" s="17" t="s">
        <v>24</v>
      </c>
      <c r="D784" s="18" t="s">
        <v>25</v>
      </c>
      <c r="E784" s="19" t="s">
        <v>47</v>
      </c>
      <c r="F784" s="18"/>
      <c r="G784" s="18"/>
    </row>
    <row r="785" spans="1:7" ht="14.25">
      <c r="A785" s="17" t="s">
        <v>26</v>
      </c>
      <c r="B785" s="20" t="s">
        <v>616</v>
      </c>
      <c r="C785" s="20" t="s">
        <v>637</v>
      </c>
      <c r="D785" s="21" t="s">
        <v>90</v>
      </c>
      <c r="E785" s="72">
        <f>SUM(G787:G788)</f>
        <v>0</v>
      </c>
      <c r="F785" s="18"/>
      <c r="G785" s="18"/>
    </row>
    <row r="786" spans="1:7" ht="14.25">
      <c r="A786" s="17" t="s">
        <v>413</v>
      </c>
      <c r="B786" s="22" t="s">
        <v>2</v>
      </c>
      <c r="C786" s="17" t="s">
        <v>27</v>
      </c>
      <c r="D786" s="18" t="s">
        <v>25</v>
      </c>
      <c r="E786" s="23" t="s">
        <v>28</v>
      </c>
      <c r="F786" s="74" t="s">
        <v>29</v>
      </c>
      <c r="G786" s="74" t="s">
        <v>30</v>
      </c>
    </row>
    <row r="787" spans="1:7" ht="14.25">
      <c r="A787" s="17" t="s">
        <v>32</v>
      </c>
      <c r="B787" s="22" t="str">
        <f>B16</f>
        <v>CP 002A</v>
      </c>
      <c r="C787" s="17" t="str">
        <f>C16</f>
        <v>TELA PLÁSTICA GALINHEIRO VIVEIRO PINTEIRO Nº 5 1,5M X 50M</v>
      </c>
      <c r="D787" s="18" t="s">
        <v>90</v>
      </c>
      <c r="E787" s="23">
        <v>1</v>
      </c>
      <c r="F787" s="74"/>
      <c r="G787" s="74"/>
    </row>
    <row r="788" spans="1:7" ht="14.25">
      <c r="A788" s="16" t="s">
        <v>630</v>
      </c>
      <c r="B788" s="71">
        <v>88316</v>
      </c>
      <c r="C788" s="16" t="s">
        <v>67</v>
      </c>
      <c r="D788" s="31" t="s">
        <v>17</v>
      </c>
      <c r="E788" s="73">
        <v>0.05</v>
      </c>
      <c r="F788" s="74"/>
      <c r="G788" s="74"/>
    </row>
    <row r="790" spans="1:7" ht="14.25">
      <c r="A790" s="17"/>
      <c r="B790" s="17"/>
      <c r="C790" s="17" t="s">
        <v>24</v>
      </c>
      <c r="D790" s="18" t="s">
        <v>25</v>
      </c>
      <c r="E790" s="19" t="s">
        <v>47</v>
      </c>
      <c r="F790" s="18"/>
      <c r="G790" s="18"/>
    </row>
    <row r="791" spans="1:7" ht="25.5">
      <c r="A791" s="17" t="s">
        <v>26</v>
      </c>
      <c r="B791" s="20" t="s">
        <v>631</v>
      </c>
      <c r="C791" s="20" t="s">
        <v>633</v>
      </c>
      <c r="D791" s="21" t="s">
        <v>18</v>
      </c>
      <c r="E791" s="72">
        <f>SUM(G793:G796)</f>
        <v>0</v>
      </c>
      <c r="F791" s="18"/>
      <c r="G791" s="18"/>
    </row>
    <row r="792" spans="1:7" ht="14.25">
      <c r="A792" s="17" t="s">
        <v>413</v>
      </c>
      <c r="B792" s="22" t="s">
        <v>2</v>
      </c>
      <c r="C792" s="17" t="s">
        <v>27</v>
      </c>
      <c r="D792" s="18" t="s">
        <v>25</v>
      </c>
      <c r="E792" s="23" t="s">
        <v>28</v>
      </c>
      <c r="F792" s="74" t="s">
        <v>29</v>
      </c>
      <c r="G792" s="74" t="s">
        <v>30</v>
      </c>
    </row>
    <row r="793" spans="1:7" ht="25.5">
      <c r="A793" s="16" t="s">
        <v>630</v>
      </c>
      <c r="B793" s="22">
        <v>21128</v>
      </c>
      <c r="C793" s="17" t="s">
        <v>632</v>
      </c>
      <c r="D793" s="18" t="s">
        <v>18</v>
      </c>
      <c r="E793" s="23">
        <v>1.1</v>
      </c>
      <c r="F793" s="74"/>
      <c r="G793" s="74"/>
    </row>
    <row r="794" spans="1:7" ht="25.5">
      <c r="A794" s="16" t="s">
        <v>630</v>
      </c>
      <c r="B794" s="71">
        <v>91170</v>
      </c>
      <c r="C794" s="16" t="s">
        <v>634</v>
      </c>
      <c r="D794" s="31" t="s">
        <v>18</v>
      </c>
      <c r="E794" s="73">
        <v>1</v>
      </c>
      <c r="F794" s="74"/>
      <c r="G794" s="74"/>
    </row>
    <row r="795" spans="1:7" ht="14.25">
      <c r="A795" s="16" t="s">
        <v>630</v>
      </c>
      <c r="B795" s="71">
        <v>88247</v>
      </c>
      <c r="C795" s="16" t="s">
        <v>151</v>
      </c>
      <c r="D795" s="31" t="s">
        <v>17</v>
      </c>
      <c r="E795" s="73">
        <v>0.055</v>
      </c>
      <c r="F795" s="74"/>
      <c r="G795" s="74"/>
    </row>
    <row r="796" spans="1:7" ht="14.25">
      <c r="A796" s="16" t="s">
        <v>630</v>
      </c>
      <c r="B796" s="71">
        <v>88264</v>
      </c>
      <c r="C796" s="16" t="s">
        <v>153</v>
      </c>
      <c r="D796" s="31" t="s">
        <v>17</v>
      </c>
      <c r="E796" s="73">
        <v>0.055</v>
      </c>
      <c r="F796" s="74"/>
      <c r="G796" s="74"/>
    </row>
    <row r="798" spans="1:7" ht="14.25">
      <c r="A798" s="66"/>
      <c r="B798" s="66"/>
      <c r="C798" s="66" t="s">
        <v>24</v>
      </c>
      <c r="D798" s="67" t="s">
        <v>25</v>
      </c>
      <c r="E798" s="70" t="s">
        <v>47</v>
      </c>
      <c r="F798" s="67"/>
      <c r="G798" s="67"/>
    </row>
    <row r="799" spans="1:7" ht="14.25">
      <c r="A799" s="66" t="s">
        <v>26</v>
      </c>
      <c r="B799" s="68" t="s">
        <v>644</v>
      </c>
      <c r="C799" s="68" t="s">
        <v>645</v>
      </c>
      <c r="D799" s="69" t="s">
        <v>16</v>
      </c>
      <c r="E799" s="72">
        <f>SUM(G801:G804)</f>
        <v>0</v>
      </c>
      <c r="F799" s="67"/>
      <c r="G799" s="67"/>
    </row>
    <row r="800" spans="1:7" ht="14.25">
      <c r="A800" s="66" t="s">
        <v>56</v>
      </c>
      <c r="B800" s="66" t="s">
        <v>2</v>
      </c>
      <c r="C800" s="66" t="s">
        <v>27</v>
      </c>
      <c r="D800" s="67" t="s">
        <v>25</v>
      </c>
      <c r="E800" s="70" t="s">
        <v>28</v>
      </c>
      <c r="F800" s="67" t="s">
        <v>29</v>
      </c>
      <c r="G800" s="67" t="s">
        <v>30</v>
      </c>
    </row>
    <row r="801" spans="1:7" ht="14.25">
      <c r="A801" s="16" t="s">
        <v>630</v>
      </c>
      <c r="B801" s="71">
        <v>88316</v>
      </c>
      <c r="C801" s="16" t="s">
        <v>67</v>
      </c>
      <c r="D801" s="31" t="s">
        <v>17</v>
      </c>
      <c r="E801" s="73">
        <v>0.6</v>
      </c>
      <c r="F801" s="74"/>
      <c r="G801" s="74"/>
    </row>
    <row r="802" spans="1:7" ht="14.25">
      <c r="A802" s="16" t="s">
        <v>630</v>
      </c>
      <c r="B802" s="71">
        <v>88309</v>
      </c>
      <c r="C802" s="16" t="s">
        <v>100</v>
      </c>
      <c r="D802" s="31" t="s">
        <v>17</v>
      </c>
      <c r="E802" s="73">
        <v>1.2</v>
      </c>
      <c r="F802" s="74"/>
      <c r="G802" s="74"/>
    </row>
    <row r="803" spans="1:7" ht="25.5">
      <c r="A803" s="16" t="s">
        <v>630</v>
      </c>
      <c r="B803" s="71">
        <v>92716</v>
      </c>
      <c r="C803" s="16" t="s">
        <v>109</v>
      </c>
      <c r="D803" s="31" t="s">
        <v>54</v>
      </c>
      <c r="E803" s="73">
        <v>0.6581</v>
      </c>
      <c r="F803" s="74"/>
      <c r="G803" s="74"/>
    </row>
    <row r="804" spans="1:7" ht="25.5">
      <c r="A804" s="16" t="s">
        <v>630</v>
      </c>
      <c r="B804" s="71">
        <v>92717</v>
      </c>
      <c r="C804" s="16" t="s">
        <v>110</v>
      </c>
      <c r="D804" s="31" t="s">
        <v>55</v>
      </c>
      <c r="E804" s="73">
        <v>1.6062</v>
      </c>
      <c r="F804" s="74"/>
      <c r="G804" s="74"/>
    </row>
  </sheetData>
  <sheetProtection selectLockedCells="1" selectUnlockedCells="1"/>
  <hyperlinks>
    <hyperlink ref="C681" r:id="rId1" display="https://loja.kingspan-isoeste.com.br/telha-termica.html"/>
    <hyperlink ref="C696" r:id="rId2" display="https://loja.kingspan-isoeste.com.br/telha-termica-sanduiche-trapezoidal-aco-superior-e-filme-aluminio-nucleo-em-pir-com-espessura-de-30mm-largura-util-de-01-metro.html"/>
    <hyperlink ref="C711" r:id="rId3" display="https://loja.kingspan-isoeste.com.br/ec-cumeeira-trapezoidal-tp40-std-galvalume-0-43mm.html"/>
    <hyperlink ref="C250" r:id="rId4" display="https://www.poloeletrica.com.br/chave-fusivel-base-c-15kv-100a"/>
    <hyperlink ref="C256" r:id="rId5" display="https://www.lojasetta.com/base-fusivel-nh01-250a-bnh01-250-weg/177001/produto/"/>
  </hyperlinks>
  <printOptions horizontalCentered="1"/>
  <pageMargins left="0.5905511811023623" right="0.5905511811023623" top="1.5670289855072463" bottom="0.8267716535433072" header="0.5905511811023623" footer="0.3937007874015748"/>
  <pageSetup firstPageNumber="1" useFirstPageNumber="1" fitToHeight="0" fitToWidth="1" horizontalDpi="300" verticalDpi="300" orientation="landscape" paperSize="9" scale="96" r:id="rId7"/>
  <headerFooter alignWithMargins="0">
    <oddHeader>&amp;C&amp;12CONSTRUÇÃO DO GALPÃO E DAS
OFICINAS DO SESC SAMAMBAIA
&amp;"Arial,Negrito"&amp;UCOMPOSIÇÃO DE PREÇOS UNITÁRIOS</oddHeader>
    <oddFooter>&amp;C&amp;"Times New Roman,Normal"&amp;12Página &amp;P de &amp;N</oddFooter>
  </headerFooter>
  <ignoredErrors>
    <ignoredError sqref="B10:B12 B103:B106 B89 C113:D113 E111:E114 B129 B130:B131 B124 B138:B139 B311 E309:E317 B208:B210 B288:B289 B458:B461 B472:B474 B538:B539 B627:B628 B98 B117:D117 C114:D114 E116:E117 C111:D111 C112:D112 C115:D115 C116:D116" numberStoredAsText="1"/>
  </ignoredErrors>
  <drawing r:id="rId6"/>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Guido</dc:creator>
  <cp:keywords/>
  <dc:description/>
  <cp:lastModifiedBy>Rosalia Viviane de Oliveira Guedes - 4576</cp:lastModifiedBy>
  <cp:lastPrinted>2022-08-31T17:00:32Z</cp:lastPrinted>
  <dcterms:created xsi:type="dcterms:W3CDTF">2020-04-15T01:38:14Z</dcterms:created>
  <dcterms:modified xsi:type="dcterms:W3CDTF">2022-12-27T17:39:22Z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y fmtid="{D5CDD505-2E9C-101B-9397-08002B2CF9AE}" pid="4" name="wic_System_Copyright">
    <vt:lpwstr/>
  </property>
</Properties>
</file>